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jeanson\Documents\2018_July18_Docs_Oct1\Research\PapersForARJ\MutRatePaperFiles\NTJ_AH_ForARJ_Rnd2\Figures_Tables\SupplementalFiles\"/>
    </mc:Choice>
  </mc:AlternateContent>
  <xr:revisionPtr revIDLastSave="0" documentId="13_ncr:1_{88E4074D-07DA-4A34-9908-DF8FF692B91A}" xr6:coauthVersionLast="45" xr6:coauthVersionMax="45" xr10:uidLastSave="{00000000-0000-0000-0000-000000000000}"/>
  <bookViews>
    <workbookView xWindow="-110" yWindow="-110" windowWidth="19420" windowHeight="10420" xr2:uid="{532D89A2-2D16-47D7-A060-15C94CBD0366}"/>
  </bookViews>
  <sheets>
    <sheet name="BranchLength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" i="1" l="1"/>
  <c r="H298" i="1"/>
  <c r="L6" i="1" s="1"/>
  <c r="H297" i="1"/>
  <c r="H296" i="1"/>
  <c r="H295" i="1"/>
  <c r="K5" i="1" s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L3" i="1" s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L2" i="1" s="1"/>
  <c r="B297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K3" i="1" l="1"/>
  <c r="K4" i="1"/>
  <c r="K2" i="1"/>
  <c r="K6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295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  <c r="B296" i="1"/>
  <c r="B298" i="1"/>
  <c r="E2" i="1" l="1"/>
  <c r="F2" i="1"/>
</calcChain>
</file>

<file path=xl/sharedStrings.xml><?xml version="1.0" encoding="utf-8"?>
<sst xmlns="http://schemas.openxmlformats.org/spreadsheetml/2006/main" count="313" uniqueCount="310">
  <si>
    <t>R1a2b Kazakhs Kazakhs Kaz1 46</t>
  </si>
  <si>
    <t>R1a2b Iraqi-Jews Iraqi-Jews ISR40 148</t>
  </si>
  <si>
    <t>R1a2b Bengali West-Bengal Beng2 110</t>
  </si>
  <si>
    <t>R1a2b Gupta Uttar-Pradesh Gupta1 108</t>
  </si>
  <si>
    <t>R1a2b Middle-caste Orissa OrMc1 117</t>
  </si>
  <si>
    <t>R1a2b Kurmi Uttar-Pradesh Kurmi1 143</t>
  </si>
  <si>
    <t>R1a2b Ishkasim Tajiks Ishk1 83</t>
  </si>
  <si>
    <t>R1a2b Cossacks Cossacks Cosk2 284</t>
  </si>
  <si>
    <t>R1a2 Ishkasim Tajiks Ishk2 89</t>
  </si>
  <si>
    <t>R1a2 Rushan-Vanch Tajiks RVnch2 48</t>
  </si>
  <si>
    <t>R1a2c Altaians Altaians Altai5 230</t>
  </si>
  <si>
    <t>R1a2c Kyrgyz Kyrgyz Kyrgz2 85</t>
  </si>
  <si>
    <t>R1a2c Kyrgyz Kyrgyz Kyrgz4 22</t>
  </si>
  <si>
    <t>R1a2c Kyrgyz Kyrgyz Kyrgz3 90</t>
  </si>
  <si>
    <t>R1a2 Assyrians Assyrians Assyr1 15</t>
  </si>
  <si>
    <t>R1a2 Ashkenazi-Jews Ashkenazi-Jews ISR10 94</t>
  </si>
  <si>
    <t>R1a2d Balkars Balkars Balkar2 74</t>
  </si>
  <si>
    <t>R1a2d Mumbai-Jews Mumbai Israel42 150</t>
  </si>
  <si>
    <t>R1a2d Shugnan Tajiks Shugn1 23</t>
  </si>
  <si>
    <t>R1a2d Circassians Circassians Cirkas3 253</t>
  </si>
  <si>
    <t>R1a2d Iraqi-Jews Iraqi-Jews ISR01 91</t>
  </si>
  <si>
    <t>R1a2d Rushan-Vanch Tajiks RVnch1 82</t>
  </si>
  <si>
    <t>R1a2d Azerbaijanis Azerbaijanis Azerb24 282</t>
  </si>
  <si>
    <t>R1a2 Iranians Iranians Iran3 121</t>
  </si>
  <si>
    <t>R1a2a Altaians Altaians Altai3 75</t>
  </si>
  <si>
    <t>R1a2a Altaians Altaians Altai4 144</t>
  </si>
  <si>
    <t>R1a2a Kyrgyz Tdj Kyrgyz KyrgzTJ2 81</t>
  </si>
  <si>
    <t>R1a2a Kyrgyz Tdj Kyrgyz KyrgzTJ1 87</t>
  </si>
  <si>
    <t>R1a2a Kyrgyz Tdj Kyrgyz KyrgzTJ3 88</t>
  </si>
  <si>
    <t>R1a1c Hungarians Hungarians Hun 3 250</t>
  </si>
  <si>
    <t>R1a1c Cossacks Kuban Cossacks CoskK2 276</t>
  </si>
  <si>
    <t>R1a1c Ukrainians north Ukrainians UkrN1 20</t>
  </si>
  <si>
    <t>R1a1c Ukrainians east Ukrainians UkrnE3 273</t>
  </si>
  <si>
    <t>R1a1c Mordvins Mordvins Mord2 31</t>
  </si>
  <si>
    <t>R1a1c Ukrainians east Ukrainians UkrnE2 271</t>
  </si>
  <si>
    <t>R1a1c Ukrainians west Ukrainians UkrnW3 275</t>
  </si>
  <si>
    <t>R1a1d Tatars Tatars Tatar3 5</t>
  </si>
  <si>
    <t>R1a1d Circassians Circassians Cirkas2 252</t>
  </si>
  <si>
    <t>R1a1d Cossacks Cossacks Cosk1 283</t>
  </si>
  <si>
    <t>R1a1e Swedes Swedes Swe1 251</t>
  </si>
  <si>
    <t>R1a1e Swedes Swedes Swe2 285</t>
  </si>
  <si>
    <t>R1a1e Saami Saami Saami6 242</t>
  </si>
  <si>
    <t>R1a1b Russians-Central Russians RusRz1 106</t>
  </si>
  <si>
    <t>R1a1b Ukrainians east Ukrainians UkrnE1 260</t>
  </si>
  <si>
    <t>R1a1b Estonians Estonians Est27 132</t>
  </si>
  <si>
    <t>R1a1a Ukrainians west Ukrainians UkrnW2 274</t>
  </si>
  <si>
    <t>R1a1a Karelians Karelians Karel1 27</t>
  </si>
  <si>
    <t>R1a1a Karelians Karelians Karel2 146</t>
  </si>
  <si>
    <t>R1a1a Russians-West Russians RusPs2 105</t>
  </si>
  <si>
    <t>R1a1a Russians-North Russians RusPi2 21</t>
  </si>
  <si>
    <t>R1a1a Komis Komis Komi2 238</t>
  </si>
  <si>
    <t>R1a2d Bashkirs Bashkirs Bashk4 103</t>
  </si>
  <si>
    <t>R1b15 Tajiks Tajiks Tajik1 86</t>
  </si>
  <si>
    <t>R1b13 Bashkirs Bashkirs Bashk3 62</t>
  </si>
  <si>
    <t>R1b13 Mongolians Mongols Mong4 279</t>
  </si>
  <si>
    <t>R1b11 Tabasarans Tabasarans Tabas17 37</t>
  </si>
  <si>
    <t>R1b11 Kurdistan-Jews Kurdistan-Jews Israel43 122</t>
  </si>
  <si>
    <t>R1b11 Avars Avars Avar9 41</t>
  </si>
  <si>
    <t>R1b11 Assyrians Assyrians Assyr3 16</t>
  </si>
  <si>
    <t>R1b11 Armenians Armenians Armen1 270</t>
  </si>
  <si>
    <t>R1b11 Turkey-Jews Turkey-Jews ISR31 61</t>
  </si>
  <si>
    <t>R1b11 Moroccan-Jews Moroccan-Jews Israel48 125</t>
  </si>
  <si>
    <t>R1b8 Ukrainians west Ukrainians UkrnW1 272</t>
  </si>
  <si>
    <t>R1b1 Ashkenazi-Jews Ashkenazi-Jews ISR38 66</t>
  </si>
  <si>
    <t>R1b1 Christian-Arabs-Israel Arabs CArab2 124</t>
  </si>
  <si>
    <t>R1b3 Germans Germans Ger3 127</t>
  </si>
  <si>
    <t>R1b3 Mordvins Mordvins Mord1 57</t>
  </si>
  <si>
    <t>R1b3 Colla Andean-HA AndT7 181</t>
  </si>
  <si>
    <t>R1b3 Colla Andean-HA AndT13 191</t>
  </si>
  <si>
    <t>R2 Iranian-Jews Iranian-Jews ISR23 101</t>
  </si>
  <si>
    <t>R2a Brahmin Uttar-Pradesh Brahm1 118</t>
  </si>
  <si>
    <t>R2a Santhal Jharkhand Santh1 109</t>
  </si>
  <si>
    <t>R2a Thakur Uttar-Pradesh Thak1 107</t>
  </si>
  <si>
    <t>R2a Brahmin Uttar-Pradesh Brahm2 116</t>
  </si>
  <si>
    <t>Q2b Koryaks Koryaks KrkG11 213</t>
  </si>
  <si>
    <t>Q2b Koryaks Koryaks KrkG55 217</t>
  </si>
  <si>
    <t>Q2b Koryaks Koryaks KrkG13 234</t>
  </si>
  <si>
    <t>Q2b Koryaks Koryaks KrkG14 236</t>
  </si>
  <si>
    <t>Q2c Murut Murut Murut19 190</t>
  </si>
  <si>
    <t>Q2a Turkmens Turkmens TrkUzb1 257</t>
  </si>
  <si>
    <t>Q2a Turkmens Turkmens TrkUzb2 258</t>
  </si>
  <si>
    <t>Q2a Turkmens Turkmens TrkUzb3 259</t>
  </si>
  <si>
    <t>Q1d Croats Croats croat11 55</t>
  </si>
  <si>
    <t>Q1d Brahmin Nepalese NepBr1 248</t>
  </si>
  <si>
    <t>Q1c Selkups Selkups Selkp3 7</t>
  </si>
  <si>
    <t>Q1c Kets Kets Ket1 8</t>
  </si>
  <si>
    <t>Q1c Kets Kets Ket2 53</t>
  </si>
  <si>
    <t>Q1c Uzbek Uzbek Uzbk3 244</t>
  </si>
  <si>
    <t>Q1a Eskimo Eskimo Esk2 195</t>
  </si>
  <si>
    <t>Q1a Cachi Andean-Cachi Cachi4 155</t>
  </si>
  <si>
    <t>Q1a Cachi Andean-Cachi Cachi3 136</t>
  </si>
  <si>
    <t>Q1a Colla Andean-HA AndS11 192</t>
  </si>
  <si>
    <t>Q1a Colla Andean-HA AndT12 183</t>
  </si>
  <si>
    <t>Q1a Wichi Andean-LA Wichi3 139</t>
  </si>
  <si>
    <t>Q1a Wichi Andean-LA Wichi4 140</t>
  </si>
  <si>
    <t>Q1a Colla Andean-HA AndS41 182</t>
  </si>
  <si>
    <t>Q1a Cachi Andean-Cachi Cachi5 138</t>
  </si>
  <si>
    <t>Q1a Colla Andean-HA Colla4 141</t>
  </si>
  <si>
    <t>Q1a Colla Andean-HA AndS23 208</t>
  </si>
  <si>
    <t>Q1a Colla Andean-HA AndS47 209</t>
  </si>
  <si>
    <t>P2 Agta Agta Agta1 302</t>
  </si>
  <si>
    <t>M1c Kosipe Kosipe Kosip1 297</t>
  </si>
  <si>
    <t>M1c Kosipe Kosipe Kosip3 301</t>
  </si>
  <si>
    <t>M1c Kosipe Kosipe Kosip2 300</t>
  </si>
  <si>
    <t>S2 Lebbo Lebbo Lebb2 133</t>
  </si>
  <si>
    <t>S1 Bajo Bajo Bajo17 137</t>
  </si>
  <si>
    <t>S3a1 Aeta Aeta Aeta1 291</t>
  </si>
  <si>
    <t>S3a1 Aeta Aeta Aeta2 292</t>
  </si>
  <si>
    <t>O2a2 Gond Madhya-Pradesh Gond1 112</t>
  </si>
  <si>
    <t>O2a2 Lebbo Lebbo Lebb1 154</t>
  </si>
  <si>
    <t>O2a2 Dusun Dusun Dusun7 180</t>
  </si>
  <si>
    <t>O2a2 Dusun Dusun Dusun12 186</t>
  </si>
  <si>
    <t>O2a2 Ho Jharkhand Ho1 113</t>
  </si>
  <si>
    <t>O2a2 Vietnamese south Vietnamese VietS2 179</t>
  </si>
  <si>
    <t>O2a2 Vietnamese south Vietnamese VietS1 185</t>
  </si>
  <si>
    <t>O2a1 Vietnamese north Vietnamese VietN4 177</t>
  </si>
  <si>
    <t>O2a1 Vietnamese south Vietnamese VietS3 178</t>
  </si>
  <si>
    <t>O1a Agta Agta Agta3 290</t>
  </si>
  <si>
    <t>O1b Agta Agta Agta2 305</t>
  </si>
  <si>
    <t>O1c Batak Batak Batak2 294</t>
  </si>
  <si>
    <t>O1c Murut Murut Murut6 188</t>
  </si>
  <si>
    <t>O1c Murut Murut Murut13 189</t>
  </si>
  <si>
    <t>O1c Batak Batak Batak1 293</t>
  </si>
  <si>
    <t>O3e Igorot Igorot Igrt1 184</t>
  </si>
  <si>
    <t>O3i Bajo Bajo Bajo21 153</t>
  </si>
  <si>
    <t>O3i Batak Batak Batak3 295</t>
  </si>
  <si>
    <t>O3b Burmese Burmese Burm15 226</t>
  </si>
  <si>
    <t>O3a1 Burmese Burmese Burm12 174</t>
  </si>
  <si>
    <t>O3a1 Burmese Burmese Burm20 176</t>
  </si>
  <si>
    <t>O3a1 Burmese Burmese Burm8 172</t>
  </si>
  <si>
    <t>O3a1 Burmese Burmese Burm3 171</t>
  </si>
  <si>
    <t>O3a1 Burmese Burmese Burm4 175</t>
  </si>
  <si>
    <t>N2a1a Evenks Evenki Evk55 200</t>
  </si>
  <si>
    <t>N2a1a Yakuts Kr Yakuts YakK4 232</t>
  </si>
  <si>
    <t>N2a1a Mongolians Mongols Mong5 280</t>
  </si>
  <si>
    <t>N2a1a Tuvinians Tuvinians Tuva1 145</t>
  </si>
  <si>
    <t>N2a1a Tuvinians Tuvinians Tuva2 167</t>
  </si>
  <si>
    <t>N2a1 Evens Sakha Even EvenS3 71</t>
  </si>
  <si>
    <t>N2a1a Tundra-Nenets Nenets NentT1 68</t>
  </si>
  <si>
    <t>N2a1a Forest-Nenets Nenets NenetF3 59</t>
  </si>
  <si>
    <t>N2a1a Tundra-Nenets Nenets NentT2 67</t>
  </si>
  <si>
    <t>N2a1 Udmurds Udmurds Udmrd3 303</t>
  </si>
  <si>
    <t>N2a1 Maris Maris Mari3 33</t>
  </si>
  <si>
    <t>N2a1 Vepsas Vepsas Veps4 286</t>
  </si>
  <si>
    <t>N3b Shor Shor Shor1 229</t>
  </si>
  <si>
    <t>N3a1 Maris Maris Mari1 32</t>
  </si>
  <si>
    <t>N3a1 Udmurds Udmurds Udmrd4 237</t>
  </si>
  <si>
    <t>N3a1 Udmurds Udmurds Udmrd2 3</t>
  </si>
  <si>
    <t>N3a1 Maris Maris Mari2 54</t>
  </si>
  <si>
    <t>N3a2 Yakuts Kr Yakuts YakK3 210</t>
  </si>
  <si>
    <t>N3a2 Yakuts Yakuts YakM1 218</t>
  </si>
  <si>
    <t>N3a2 Yakuts Sakha Yakuts YakS8 34</t>
  </si>
  <si>
    <t>N3a2 Evens Sakha Even EvenS2 70</t>
  </si>
  <si>
    <t>N3a2 Lebanese Lebanese Lebn1 157</t>
  </si>
  <si>
    <t>N3a3a Estonians Estonians Est2 162</t>
  </si>
  <si>
    <t>N3a3a Latvians Latvians Lat2 243</t>
  </si>
  <si>
    <t>N3a3a Latvians Latvians Lat3 267</t>
  </si>
  <si>
    <t>N3a3a Russians-West Russians RusPs1 119</t>
  </si>
  <si>
    <t>N3a3a Evens Magadan Even Evn31 201</t>
  </si>
  <si>
    <t>N3a3b Estonians Estonians Est6 161</t>
  </si>
  <si>
    <t>N3a3b Estonians Estonians Est21 164</t>
  </si>
  <si>
    <t>N3a3b Saami Saami Saami4 240</t>
  </si>
  <si>
    <t>N3a3b Saami Saami Saami5 241</t>
  </si>
  <si>
    <t>N3a3 Russians-North Russians RusPi1 47</t>
  </si>
  <si>
    <t>N3a4 Estonians Estonians Est17 168</t>
  </si>
  <si>
    <t>N3a4 Estonians Estonians Est20 170</t>
  </si>
  <si>
    <t>N3a4 Karelians Karelians Karel3 268</t>
  </si>
  <si>
    <t>N3a4 Vepsas Vepsas Veps2 147</t>
  </si>
  <si>
    <t>N3a4 Cossacks Kuban Cossacks CoskK1 80</t>
  </si>
  <si>
    <t>N3a5 Buryats Buryat Bur406 211</t>
  </si>
  <si>
    <t>N3a5 Buryats Buryat Bur336 219</t>
  </si>
  <si>
    <t>N3a5 Kazakhs Kazakhs Kaz3 265</t>
  </si>
  <si>
    <t>N3a5 Mongolians Mongols Mong1 84</t>
  </si>
  <si>
    <t>N3a5 Mongolians Mongols Mong6 281</t>
  </si>
  <si>
    <t>N3a5 Mongolians Mongols Mong2 255</t>
  </si>
  <si>
    <t>N3a5 Chukchis Chukchis Chuk9 198</t>
  </si>
  <si>
    <t>N3a5 Koryaks Koryaks KrkG294 233</t>
  </si>
  <si>
    <t>N3a5 Koryaks Koryaks KrkG152 214</t>
  </si>
  <si>
    <t>N3a5 Eskimo Eskimo Esk3 196</t>
  </si>
  <si>
    <t>N3a5 Chukchis Chukchis Chuk5 197</t>
  </si>
  <si>
    <t>N3a5 Koryaks Koryaks KrkG233 215</t>
  </si>
  <si>
    <t>L1b Tatars Tatars Tatar2 6</t>
  </si>
  <si>
    <t>L1b Druze Druze ISR34 63</t>
  </si>
  <si>
    <t>T1a1 Georgian-Jews Georgian-Jews ISR13 96</t>
  </si>
  <si>
    <t>T1a1 Muslim-Arabs-Israel Arabs MArab1 97</t>
  </si>
  <si>
    <t>I2a Croats Croats croat12 19</t>
  </si>
  <si>
    <t>I2a Croats Croats croat13 56</t>
  </si>
  <si>
    <t>I2a Chuvashes Chuvashes Chuv1 26</t>
  </si>
  <si>
    <t>I2a Lithuanians Lithuanians Lit2 130</t>
  </si>
  <si>
    <t>I2a Belarusians Belarusians BelaR1 28</t>
  </si>
  <si>
    <t>I2a Belarusians Belarusians BelaR3 36</t>
  </si>
  <si>
    <t>I2a Vepsas Vepsas Veps3 169</t>
  </si>
  <si>
    <t>I3 Georgians Georgians Georg1 269</t>
  </si>
  <si>
    <t>I1c Mordvins Mordvins Mord3 4</t>
  </si>
  <si>
    <t>I1c Komis Komis Komi1 29</t>
  </si>
  <si>
    <t>I1b Belarusians Belarusians BelaR2 60</t>
  </si>
  <si>
    <t>I1a Hungarians Hungarians Hun2 129</t>
  </si>
  <si>
    <t>J2a8 Iranians Iranians Iran1 14</t>
  </si>
  <si>
    <t>J2a8 Kyrgyz Kyrgyz Kyrgz1 76</t>
  </si>
  <si>
    <t>J2a9 Kabardins Kabardins Kabard3 254</t>
  </si>
  <si>
    <t>J2a7 Kapu Andhra-Pradesh Kapu1 111</t>
  </si>
  <si>
    <t>J2a6 Assyrians Assyrians Assyr4 17</t>
  </si>
  <si>
    <t>J2a2 Babtized-Tatars Tatars Kryash4 58</t>
  </si>
  <si>
    <t>J2a4 Georgians Georgians Georg2 306</t>
  </si>
  <si>
    <t>J2a11 Abkhazians Abkhazians Abkhaz6 43</t>
  </si>
  <si>
    <t>J2b2 Cochin-Jews Cochin-Jews ISR37 65</t>
  </si>
  <si>
    <t>J2b2 Albanians Albanians Alban2 266</t>
  </si>
  <si>
    <t>J2b1 Jordanians Jordanians Jord1 79</t>
  </si>
  <si>
    <t>J2b1 Armenians Armenians Armen7 13</t>
  </si>
  <si>
    <t>J2b1 Mumbai-Jews Mumbai Israel44 123</t>
  </si>
  <si>
    <t>J1a1 Kumyks Kumyks Kumk2 39</t>
  </si>
  <si>
    <t>J1a1 Avars Avars Avar1 40</t>
  </si>
  <si>
    <t>J1a1 Tabasarans Tabasarans Tabas4 50</t>
  </si>
  <si>
    <t>J1a2 Lezgins Lezgins Lezg2 9</t>
  </si>
  <si>
    <t>J1c Azerbaijanis Azerbaijanis Azerb13 11</t>
  </si>
  <si>
    <t>J1b6 Armenians Armenians Armen4 264</t>
  </si>
  <si>
    <t>J1b1 Saudi-Arabians Arabs Saudi1 78</t>
  </si>
  <si>
    <t>J1b1 Saudi-Arabians Arabs Saudi2 104</t>
  </si>
  <si>
    <t>J1b5 Armenians Armenians Armen5 263</t>
  </si>
  <si>
    <t>J1b3 Armenians Armenians Armen2 262</t>
  </si>
  <si>
    <t>J1b3 Albanians Albanians Alban3 304</t>
  </si>
  <si>
    <t>J1b4 Jordanians Jordanians Jord2 51</t>
  </si>
  <si>
    <t>J1b2 Druze Druze ISR35 64</t>
  </si>
  <si>
    <t>J1b1 Armenians Armenians Armen3 12</t>
  </si>
  <si>
    <t>J1b1 Muslim-Arabs-Israel Arabs MArab2 98</t>
  </si>
  <si>
    <t>J1b1 Yemenite-Jews Yemenite-Jews Israel49 126</t>
  </si>
  <si>
    <t>J1b1 Yemenite-Jews Yemenite-Jews ISR41 149</t>
  </si>
  <si>
    <t>G2a1 North-Ossetians North-Ossetians NOsset6 10</t>
  </si>
  <si>
    <t>G2a1 North-Ossetians North-Ossetians NOsset2 45</t>
  </si>
  <si>
    <t>G2a1 Abkhazians Abkhazians Abkhaz5 42</t>
  </si>
  <si>
    <t>G2a1 Moldavians Moldavians Mold3 128</t>
  </si>
  <si>
    <t>G2a1 Lezgins Lezgins Lezg3 38</t>
  </si>
  <si>
    <t>G2a2 Kabardins Kabardins Kabard4 44</t>
  </si>
  <si>
    <t>G2a4 Iraqi-Jews Iraqi-Jews ISR12 95</t>
  </si>
  <si>
    <t>G2a4 Iranians Iranians Iran2 52</t>
  </si>
  <si>
    <t>G2a4 Uzbekistan-Jews Uzbekistan-Jews ISR22 100</t>
  </si>
  <si>
    <t>H3 Malayan Kerala Mal1 115</t>
  </si>
  <si>
    <t>H2 Burmese Burmese Burm10 173</t>
  </si>
  <si>
    <t>H1b Middle-caste Punjab PuMc1 142</t>
  </si>
  <si>
    <t>H1b Dhaka-mixed-popul Dhaka-mixed-popul Bangl2 246</t>
  </si>
  <si>
    <t>H1b Balija-Middle-caste Andhra-Pradesh Balija1 261</t>
  </si>
  <si>
    <t>H1a Burmese Burmese Burm14 205</t>
  </si>
  <si>
    <t>H1a Asur Jharkhand Asur1 114</t>
  </si>
  <si>
    <t>H1a Kshatriya Uttar-Pradesh Khsat1 249</t>
  </si>
  <si>
    <t>H1a Kol Uttar-Pradesh Kol1 120</t>
  </si>
  <si>
    <t>H1a Dhaka-mixed-popul Dhaka-mixed-popul Bangl1 245</t>
  </si>
  <si>
    <t>E2a1 Estonians Estonians Est4 159</t>
  </si>
  <si>
    <t>E2a1 Albanians Albanians Alban1 239</t>
  </si>
  <si>
    <t>E2a1 Mishar-Tatars Tatars TatarM1 25</t>
  </si>
  <si>
    <t>E2a3 Iranians Iranians Iran4 77</t>
  </si>
  <si>
    <t>E2b2 Christian-Arabs-Israel Arabs CArab1 102</t>
  </si>
  <si>
    <t>E2b1 Christian-Arabs-Israel Arabs CArab3 93</t>
  </si>
  <si>
    <t>E2b1 Uzbekistan-Jews Uzbekistan-Jews ISR21 99</t>
  </si>
  <si>
    <t>E1a1 Congo-pygmies Congo-pygmies CongPy1 287</t>
  </si>
  <si>
    <t>D1 Tamang low-caste NplTA1 247</t>
  </si>
  <si>
    <t>C7b1 Murut Murut Murut3 187</t>
  </si>
  <si>
    <t>C7b1 Murut Murut Murut5 duplicate 225</t>
  </si>
  <si>
    <t>C7b1 Aeta Aeta Aeta3 298</t>
  </si>
  <si>
    <t>C7a Lebbo Lebbo Lebb3 134</t>
  </si>
  <si>
    <t>C7a Lebbo Lebbo Lebb4 135</t>
  </si>
  <si>
    <t>C5a Low-caste Madhya-Pradesh MPlc1 156</t>
  </si>
  <si>
    <t>C9 Dusun Dusun Dusun8 206</t>
  </si>
  <si>
    <t>C2 Bajo Bajo Bajo19 152</t>
  </si>
  <si>
    <t>C2a1a Bajo Bajo Bajo2 151</t>
  </si>
  <si>
    <t>C2a2a Koinanbe Koinanbe Koinb2 296</t>
  </si>
  <si>
    <t>C2a2a Koinanbe Koinanbe Koinb3 299</t>
  </si>
  <si>
    <t>C2a2a Koinanbe Koinanbe Koinb1 307</t>
  </si>
  <si>
    <t>C3f1 Buryats Buryat Bur350 220</t>
  </si>
  <si>
    <t>C3f1 Buryats Buryat Bur578 224</t>
  </si>
  <si>
    <t>C3f1 Buryats Buryat Bur383 202</t>
  </si>
  <si>
    <t>C3f1 Buryats Buryats Bur2 49</t>
  </si>
  <si>
    <t>C3f1 Buryats Buryat Bur355 221</t>
  </si>
  <si>
    <t>C3f1 Buryats Buryat Bur361 222</t>
  </si>
  <si>
    <t>C3f1 Buryats Buryat Bur398 223</t>
  </si>
  <si>
    <t>C3f1 Buryats Buryats Bur11 24</t>
  </si>
  <si>
    <t>C3f1 Buryats Buryat Bur318 212</t>
  </si>
  <si>
    <t>C3g Koryaks Koryaks KrkG3 216</t>
  </si>
  <si>
    <t>C3g Altaians Altaians Altai6 231</t>
  </si>
  <si>
    <t>C3h Kazakhs Kazakhs Kaz2 18</t>
  </si>
  <si>
    <t>C3i Koryaks Koryaks Krk116 193</t>
  </si>
  <si>
    <t>C3c2 Koryaks Koryaks koryak33 72</t>
  </si>
  <si>
    <t>C3c2 Koryaks Koryaks koryak42 73</t>
  </si>
  <si>
    <t>C3c2 Koryaks Koryaks Krk119 194</t>
  </si>
  <si>
    <t>C3c2 Evenks Evenki Evnk2 35</t>
  </si>
  <si>
    <t>C3c1a Evenks Evenki Evk14 199</t>
  </si>
  <si>
    <t>C3c1a Buryats Buryat Bur530 203</t>
  </si>
  <si>
    <t>C3c1a Mongolians Mongols Mong3 256</t>
  </si>
  <si>
    <t>C3c1a Evens Magadan Even EvenM2 228</t>
  </si>
  <si>
    <t>C3c1a Evens Magadan Even Evn21 235</t>
  </si>
  <si>
    <t>C3c1a Evens Magadan Even EvenM3 227</t>
  </si>
  <si>
    <t>C3c1a Evens Sakha Even EvenS1 69</t>
  </si>
  <si>
    <t>C3c1a Evens Magadan Even EvenM1 204</t>
  </si>
  <si>
    <t>B2 Congo-pygmies Congo-pygmies CongPy3 288</t>
  </si>
  <si>
    <t>A3 Ethiopian-Jews Ethiopian-Jews ISR07 92</t>
  </si>
  <si>
    <t>A2 Congo-pygmies Congo-pygmies CongPy6 289</t>
  </si>
  <si>
    <t>A00 Mbo Mbo 1</t>
  </si>
  <si>
    <t>A00 Mbo Mbo 2</t>
  </si>
  <si>
    <t>Individual</t>
  </si>
  <si>
    <t>Avg</t>
  </si>
  <si>
    <t>Stdev</t>
  </si>
  <si>
    <t>B</t>
  </si>
  <si>
    <t>A00</t>
  </si>
  <si>
    <t>Evo Root-to-Tip D</t>
  </si>
  <si>
    <t>Alpha Root-to-Tip D</t>
  </si>
  <si>
    <t>Haplogroups</t>
  </si>
  <si>
    <t>All</t>
  </si>
  <si>
    <t>F to T</t>
  </si>
  <si>
    <t>C to E</t>
  </si>
  <si>
    <t>A2 to A3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</si>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</sst>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" fontId="0" fillId="0" borderId="0" xfId="0" applyNumberFormat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0510D-4B29-4FE1-AA92-08BBDE9418B3}">
  <dimension ref="A1:L298"/>
  <sheetViews>
    <sheetView tabSelected="1" zoomScale="55" zoomScaleNormal="55" workbookViewId="0">
      <selection activeCell="L5" sqref="L5"/>
    </sheetView>
  </sheetViews>
  <sheetFormatPr defaultRowHeight="14.5" x14ac:dyDescent="0.35"/>
  <cols>
    <col min="1" max="1" width="48.26953125" bestFit="1" customWidth="1"/>
    <col min="2" max="2" width="15.81640625" bestFit="1" customWidth="1"/>
    <col min="4" max="4" width="11.453125" bestFit="1" customWidth="1"/>
    <col min="8" max="8" width="17.6328125" bestFit="1" customWidth="1"/>
    <col min="10" max="10" width="11.453125" bestFit="1" customWidth="1"/>
  </cols>
  <sheetData>
    <row r="1" spans="1:12" x14ac:dyDescent="0.35">
      <c r="A1" s="1" t="s">
        <v>297</v>
      </c>
      <c r="B1" s="1" t="s">
        <v>302</v>
      </c>
      <c r="D1" s="1" t="s">
        <v>304</v>
      </c>
      <c r="E1" s="1" t="s">
        <v>298</v>
      </c>
      <c r="F1" s="1" t="s">
        <v>299</v>
      </c>
      <c r="H1" s="1" t="s">
        <v>303</v>
      </c>
      <c r="J1" s="1" t="s">
        <v>304</v>
      </c>
      <c r="K1" s="1" t="s">
        <v>298</v>
      </c>
      <c r="L1" s="1" t="s">
        <v>299</v>
      </c>
    </row>
    <row r="2" spans="1:12" x14ac:dyDescent="0.35">
      <c r="A2" t="s">
        <v>0</v>
      </c>
      <c r="B2">
        <f>644+290+183+124+6+11+1+1+1+96+44+31+128+2+1+3+2+2+3+1+21</f>
        <v>1595</v>
      </c>
      <c r="D2" t="s">
        <v>305</v>
      </c>
      <c r="E2" s="2">
        <f>AVERAGE(B2:B298)</f>
        <v>1602.6632996632998</v>
      </c>
      <c r="F2" s="2">
        <f>STDEV(B2:B298)</f>
        <v>24.244554276134107</v>
      </c>
      <c r="H2">
        <f>62+6+11+1+1+1+96+44+31+128+2+1+3+2+2+3+1+21</f>
        <v>416</v>
      </c>
      <c r="J2" t="s">
        <v>306</v>
      </c>
      <c r="K2" s="2">
        <f>AVERAGE(H2:H247)</f>
        <v>416.9308943089431</v>
      </c>
      <c r="L2" s="2">
        <f>STDEV(H2:H247)</f>
        <v>17.523375082985233</v>
      </c>
    </row>
    <row r="3" spans="1:12" x14ac:dyDescent="0.35">
      <c r="A3" t="s">
        <v>1</v>
      </c>
      <c r="B3">
        <f>644+290+183+124+6+11+1+1+1+96+44+31+128+2+1+3+2+2+3+1+24</f>
        <v>1598</v>
      </c>
      <c r="H3">
        <f>62+6+11+1+1+1+96+44+31+128+2+1+3+2+2+3+1+24</f>
        <v>419</v>
      </c>
      <c r="J3" t="s">
        <v>307</v>
      </c>
      <c r="K3" s="2">
        <f>AVERAGE(H248:H293)</f>
        <v>576.32608695652175</v>
      </c>
      <c r="L3" s="2">
        <f>STDEV(H248:H293)</f>
        <v>20.51238579528215</v>
      </c>
    </row>
    <row r="4" spans="1:12" x14ac:dyDescent="0.35">
      <c r="A4" t="s">
        <v>2</v>
      </c>
      <c r="B4">
        <f>644+290+183+124+6+11+1+1+1+96+44+31+128+2+1+3+2+2+3+22</f>
        <v>1595</v>
      </c>
      <c r="H4">
        <f>62+6+11+1+1+1+96+44+31+128+2+1+3+2+2+3+22</f>
        <v>416</v>
      </c>
      <c r="J4" t="s">
        <v>300</v>
      </c>
      <c r="K4">
        <f>AVERAGE(H294)</f>
        <v>928</v>
      </c>
      <c r="L4" s="2" t="s">
        <v>309</v>
      </c>
    </row>
    <row r="5" spans="1:12" x14ac:dyDescent="0.35">
      <c r="A5" t="s">
        <v>3</v>
      </c>
      <c r="B5">
        <f>644+290+183+124+6+11+1+1+1+96+44+31+128+2+1+3+2+2+27</f>
        <v>1597</v>
      </c>
      <c r="H5">
        <f>62+6+11+1+1+1+96+44+31+128+2+1+3+2+2+27</f>
        <v>418</v>
      </c>
      <c r="J5" t="s">
        <v>308</v>
      </c>
      <c r="K5" s="2">
        <f>AVERAGE(H295:H296)</f>
        <v>1569.5</v>
      </c>
      <c r="L5" s="2">
        <f>STDEV(H295:H296)</f>
        <v>53.033008588991066</v>
      </c>
    </row>
    <row r="6" spans="1:12" x14ac:dyDescent="0.35">
      <c r="A6" t="s">
        <v>4</v>
      </c>
      <c r="B6">
        <f>644+290+183+124+6+11+1+1+1+96+44+31+128+2+1+3+2+5+19</f>
        <v>1592</v>
      </c>
      <c r="H6">
        <f>62+6+11+1+1+1+96+44+31+128+2+1+3+2+5+19</f>
        <v>413</v>
      </c>
      <c r="J6" t="s">
        <v>301</v>
      </c>
      <c r="K6" s="2">
        <f>AVERAGE(H297:H298)</f>
        <v>2867.5</v>
      </c>
      <c r="L6" s="2">
        <f>STDEV(H297:H298)</f>
        <v>40.305086527633208</v>
      </c>
    </row>
    <row r="7" spans="1:12" x14ac:dyDescent="0.35">
      <c r="A7" t="s">
        <v>5</v>
      </c>
      <c r="B7">
        <f>644+290+183+124+6+11+1+1+1+96+44+31+128+2+1+3+2+5+18</f>
        <v>1591</v>
      </c>
      <c r="H7">
        <f>62+6+11+1+1+1+96+44+31+128+2+1+3+2+5+18</f>
        <v>412</v>
      </c>
    </row>
    <row r="8" spans="1:12" x14ac:dyDescent="0.35">
      <c r="A8" t="s">
        <v>6</v>
      </c>
      <c r="B8">
        <f>644+290+183+124+6+11+1+1+1+96+44+31+128+2+1+3+29</f>
        <v>1595</v>
      </c>
      <c r="H8">
        <f>62+6+11+1+1+1+96+44+31+128+2+1+3+29</f>
        <v>416</v>
      </c>
    </row>
    <row r="9" spans="1:12" x14ac:dyDescent="0.35">
      <c r="A9" t="s">
        <v>7</v>
      </c>
      <c r="B9">
        <f>644+290+183+124+6+11+1+1+1+96+44+31+128+2+1+3+39</f>
        <v>1605</v>
      </c>
      <c r="H9">
        <f>62+6+11+1+1+1+96+44+31+128+2+1+3+39</f>
        <v>426</v>
      </c>
    </row>
    <row r="10" spans="1:12" x14ac:dyDescent="0.35">
      <c r="A10" t="s">
        <v>8</v>
      </c>
      <c r="B10">
        <f>644+290+183+124+6+11+1+1+1+96+44+31+128+2+1+27</f>
        <v>1590</v>
      </c>
      <c r="H10">
        <f>62+6+11+1+1+1+96+44+31+128+2+1+27</f>
        <v>411</v>
      </c>
    </row>
    <row r="11" spans="1:12" x14ac:dyDescent="0.35">
      <c r="A11" t="s">
        <v>9</v>
      </c>
      <c r="B11">
        <f>644+290+183+124+6+11+1+1+1+96+44+31+128+2+1+31</f>
        <v>1594</v>
      </c>
      <c r="H11">
        <f>62+6+11+1+1+1+96+44+31+128+2+1+31</f>
        <v>415</v>
      </c>
    </row>
    <row r="12" spans="1:12" x14ac:dyDescent="0.35">
      <c r="A12" t="s">
        <v>10</v>
      </c>
      <c r="B12">
        <f>644+290+183+124+6+11+1+1+1+96+44+31+128+2+1+24+10</f>
        <v>1597</v>
      </c>
      <c r="H12">
        <f>62+6+11+1+1+1+96+44+31+128+2+1+24+10</f>
        <v>418</v>
      </c>
    </row>
    <row r="13" spans="1:12" x14ac:dyDescent="0.35">
      <c r="A13" t="s">
        <v>11</v>
      </c>
      <c r="B13">
        <f>644+290+183+124+6+11+1+1+1+96+44+31+128+2+1+24+3+5</f>
        <v>1595</v>
      </c>
      <c r="H13">
        <f>62+6+11+1+1+1+96+44+31+128+2+1+24+3+5</f>
        <v>416</v>
      </c>
    </row>
    <row r="14" spans="1:12" x14ac:dyDescent="0.35">
      <c r="A14" t="s">
        <v>12</v>
      </c>
      <c r="B14">
        <f>644+290+183+124+6+11+1+1+1+96+44+31+128+2+1+24+3+2</f>
        <v>1592</v>
      </c>
      <c r="H14">
        <f>62+6+11+1+1+1+96+44+31+128+2+1+24+3+2</f>
        <v>413</v>
      </c>
    </row>
    <row r="15" spans="1:12" x14ac:dyDescent="0.35">
      <c r="A15" t="s">
        <v>13</v>
      </c>
      <c r="B15">
        <f>644+290+183+124+6+11+1+1+1+96+44+31+128+2+1+24+3+3</f>
        <v>1593</v>
      </c>
      <c r="H15">
        <f>62+6+11+1+1+1+96+44+31+128+2+1+24+3+3</f>
        <v>414</v>
      </c>
    </row>
    <row r="16" spans="1:12" x14ac:dyDescent="0.35">
      <c r="A16" t="s">
        <v>14</v>
      </c>
      <c r="B16">
        <f>644+290+183+124+6+11+1+1+1+96+44+31+128+2+1+1+39</f>
        <v>1603</v>
      </c>
      <c r="H16">
        <f>62+6+11+1+1+1+96+44+31+128+2+1+1+39</f>
        <v>424</v>
      </c>
    </row>
    <row r="17" spans="1:8" x14ac:dyDescent="0.35">
      <c r="A17" t="s">
        <v>15</v>
      </c>
      <c r="B17">
        <f>644+290+183+124+6+11+1+1+1+96+44+31+128+2+1+1+30</f>
        <v>1594</v>
      </c>
      <c r="H17">
        <f>62+6+11+1+1+1+96+44+31+128+2+1+1+30</f>
        <v>415</v>
      </c>
    </row>
    <row r="18" spans="1:8" x14ac:dyDescent="0.35">
      <c r="A18" t="s">
        <v>16</v>
      </c>
      <c r="B18">
        <f>644+290+183+124+6+11+1+1+1+96+44+31+128+2+1+1+115</f>
        <v>1679</v>
      </c>
      <c r="H18">
        <f>62+6+11+1+1+1+96+44+31+128+2+1+1+115</f>
        <v>500</v>
      </c>
    </row>
    <row r="19" spans="1:8" x14ac:dyDescent="0.35">
      <c r="A19" t="s">
        <v>17</v>
      </c>
      <c r="B19">
        <f>644+290+183+124+6+11+1+1+1+96+44+31+128+2+1+1+35</f>
        <v>1599</v>
      </c>
      <c r="H19">
        <f>62+6+11+1+1+1+96+44+31+128+2+1+1+35</f>
        <v>420</v>
      </c>
    </row>
    <row r="20" spans="1:8" x14ac:dyDescent="0.35">
      <c r="A20" t="s">
        <v>18</v>
      </c>
      <c r="B20">
        <f>644+290+183+124+6+11+1+1+1+96+44+31+128+2+1+1+23+2</f>
        <v>1589</v>
      </c>
      <c r="H20">
        <f>62+6+11+1+1+1+96+44+31+128+2+1+1+23+2</f>
        <v>410</v>
      </c>
    </row>
    <row r="21" spans="1:8" x14ac:dyDescent="0.35">
      <c r="A21" t="s">
        <v>19</v>
      </c>
      <c r="B21">
        <f>644+290+183+124+6+11+1+1+1+96+44+31+128+2+1+1+23+4</f>
        <v>1591</v>
      </c>
      <c r="H21">
        <f>62+6+11+1+1+1+96+44+31+128+2+1+1+23+4</f>
        <v>412</v>
      </c>
    </row>
    <row r="22" spans="1:8" x14ac:dyDescent="0.35">
      <c r="A22" t="s">
        <v>20</v>
      </c>
      <c r="B22">
        <f>644+290+183+124+6+11+1+1+1+96+44+31+128+2+1+1+24</f>
        <v>1588</v>
      </c>
      <c r="H22">
        <f>62+6+11+1+1+1+96+44+31+128+2+1+1+24</f>
        <v>409</v>
      </c>
    </row>
    <row r="23" spans="1:8" x14ac:dyDescent="0.35">
      <c r="A23" t="s">
        <v>21</v>
      </c>
      <c r="B23">
        <f>644+290+183+124+6+11+1+1+1+96+44+31+128+2+1+1+1+31</f>
        <v>1596</v>
      </c>
      <c r="H23">
        <f>62+6+11+1+1+1+96+44+31+128+2+1+1+1+31</f>
        <v>417</v>
      </c>
    </row>
    <row r="24" spans="1:8" x14ac:dyDescent="0.35">
      <c r="A24" t="s">
        <v>22</v>
      </c>
      <c r="B24">
        <f>644+290+183+124+6+11+1+1+1+96+44+31+128+2+1+1+1+27</f>
        <v>1592</v>
      </c>
      <c r="H24">
        <f>62+6+11+1+1+1+96+44+31+128+2+1+1+1+27</f>
        <v>413</v>
      </c>
    </row>
    <row r="25" spans="1:8" x14ac:dyDescent="0.35">
      <c r="A25" t="s">
        <v>23</v>
      </c>
      <c r="B25">
        <f>644+290+183+124+6+11+1+1+1+96+44+31+128+2+44</f>
        <v>1606</v>
      </c>
      <c r="H25">
        <f>62+6+11+1+1+1+96+44+31+128+2+44</f>
        <v>427</v>
      </c>
    </row>
    <row r="26" spans="1:8" x14ac:dyDescent="0.35">
      <c r="A26" t="s">
        <v>24</v>
      </c>
      <c r="B26">
        <f>644+290+183+124+6+11+1+1+1+96+44+31+128+2+5+23+2</f>
        <v>1592</v>
      </c>
      <c r="H26">
        <f>62+6+11+1+1+1+96+44+31+128+2+5+23+2</f>
        <v>413</v>
      </c>
    </row>
    <row r="27" spans="1:8" x14ac:dyDescent="0.35">
      <c r="A27" t="s">
        <v>25</v>
      </c>
      <c r="B27">
        <f>644+290+183+124+6+11+1+1+1+96+44+31+128+2+5+23+3</f>
        <v>1593</v>
      </c>
      <c r="H27">
        <f>62+6+11+1+1+1+96+44+31+128+2+5+23+3</f>
        <v>414</v>
      </c>
    </row>
    <row r="28" spans="1:8" x14ac:dyDescent="0.35">
      <c r="A28" t="s">
        <v>26</v>
      </c>
      <c r="B28">
        <f>644+290+183+124+6+11+1+1+1+96+44+31+128+2+5+18+3</f>
        <v>1588</v>
      </c>
      <c r="H28">
        <f>62+6+11+1+1+1+96+44+31+128+2+5+18+3</f>
        <v>409</v>
      </c>
    </row>
    <row r="29" spans="1:8" x14ac:dyDescent="0.35">
      <c r="A29" t="s">
        <v>27</v>
      </c>
      <c r="B29">
        <f>644+290+183+124+6+11+1+1+1+96+44+31+128+2+5+18+7</f>
        <v>1592</v>
      </c>
      <c r="H29">
        <f>62+6+11+1+1+1+96+44+31+128+2+5+18+7</f>
        <v>413</v>
      </c>
    </row>
    <row r="30" spans="1:8" x14ac:dyDescent="0.35">
      <c r="A30" t="s">
        <v>28</v>
      </c>
      <c r="B30">
        <f>644+290+183+124+6+11+1+1+1+96+44+31+128+2+5+18+1</f>
        <v>1586</v>
      </c>
      <c r="H30">
        <f>62+6+11+1+1+1+96+44+31+128+2+5+18+1</f>
        <v>407</v>
      </c>
    </row>
    <row r="31" spans="1:8" x14ac:dyDescent="0.35">
      <c r="A31" t="s">
        <v>29</v>
      </c>
      <c r="B31">
        <f>644+290+183+124+6+11+1+1+1+96+44+31+128+2+3+2+6+2+25</f>
        <v>1600</v>
      </c>
      <c r="H31">
        <f>62+6+11+1+1+1+96+44+31+128+2+3+2+6+2+25</f>
        <v>421</v>
      </c>
    </row>
    <row r="32" spans="1:8" x14ac:dyDescent="0.35">
      <c r="A32" t="s">
        <v>30</v>
      </c>
      <c r="B32">
        <f>644+290+183+124+6+11+1+1+1+96+44+31+128+2+3+2+6+2+16</f>
        <v>1591</v>
      </c>
      <c r="H32">
        <f>62+6+11+1+1+1+96+44+31+128+2+3+2+6+2+16</f>
        <v>412</v>
      </c>
    </row>
    <row r="33" spans="1:8" x14ac:dyDescent="0.35">
      <c r="A33" t="s">
        <v>31</v>
      </c>
      <c r="B33">
        <f>644+290+183+124+6+11+1+1+1+96+44+31+128+2+3+2+6+19</f>
        <v>1592</v>
      </c>
      <c r="H33">
        <f>62+6+11+1+1+1+96+44+31+128+2+3+2+6+19</f>
        <v>413</v>
      </c>
    </row>
    <row r="34" spans="1:8" x14ac:dyDescent="0.35">
      <c r="A34" t="s">
        <v>32</v>
      </c>
      <c r="B34">
        <f>644+290+183+124+6+11+1+1+1+96+44+31+128+2+3+2+6+3+29</f>
        <v>1605</v>
      </c>
      <c r="H34">
        <f>62+6+11+1+1+1+96+44+31+128+2+3+2+6+3+29</f>
        <v>426</v>
      </c>
    </row>
    <row r="35" spans="1:8" x14ac:dyDescent="0.35">
      <c r="A35" t="s">
        <v>33</v>
      </c>
      <c r="B35">
        <f>644+290+183+124+6+11+1+1+1+96+44+31+128+2+3+2+6+3+12+13</f>
        <v>1601</v>
      </c>
      <c r="H35">
        <f>62+6+11+1+1+1+96+44+31+128+2+3+2+6+3+12+13</f>
        <v>422</v>
      </c>
    </row>
    <row r="36" spans="1:8" x14ac:dyDescent="0.35">
      <c r="A36" t="s">
        <v>34</v>
      </c>
      <c r="B36">
        <f>644+290+183+124+6+11+1+1+1+96+44+31+128+2+3+2+6+3+12+18</f>
        <v>1606</v>
      </c>
      <c r="H36">
        <f>62+6+11+1+1+1+96+44+31+128+2+3+2+6+3+12+18</f>
        <v>427</v>
      </c>
    </row>
    <row r="37" spans="1:8" x14ac:dyDescent="0.35">
      <c r="A37" t="s">
        <v>35</v>
      </c>
      <c r="B37">
        <f>644+290+183+124+6+11+1+1+1+96+44+31+128+2+3+2+42</f>
        <v>1609</v>
      </c>
      <c r="H37">
        <f>62+6+11+1+1+1+96+44+31+128+2+3+2+42</f>
        <v>430</v>
      </c>
    </row>
    <row r="38" spans="1:8" x14ac:dyDescent="0.35">
      <c r="A38" t="s">
        <v>36</v>
      </c>
      <c r="B38">
        <f>644+290+183+124+6+11+1+1+1+96+44+31+128+2+3+22+16</f>
        <v>1603</v>
      </c>
      <c r="H38">
        <f>62+6+11+1+1+1+96+44+31+128+2+3+22+16</f>
        <v>424</v>
      </c>
    </row>
    <row r="39" spans="1:8" x14ac:dyDescent="0.35">
      <c r="A39" t="s">
        <v>37</v>
      </c>
      <c r="B39">
        <f>644+290+183+124+6+11+1+1+1+96+44+31+128+2+3+22+4+15</f>
        <v>1606</v>
      </c>
      <c r="H39">
        <f>62+6+11+1+1+1+96+44+31+128+2+3+22+4+15</f>
        <v>427</v>
      </c>
    </row>
    <row r="40" spans="1:8" x14ac:dyDescent="0.35">
      <c r="A40" t="s">
        <v>38</v>
      </c>
      <c r="B40">
        <f>644+290+183+124+6+11+1+1+1+96+44+31+128+2+3+22+4+22</f>
        <v>1613</v>
      </c>
      <c r="H40">
        <f>62+6+11+1+1+1+96+44+31+128+2+3+22+4+22</f>
        <v>434</v>
      </c>
    </row>
    <row r="41" spans="1:8" x14ac:dyDescent="0.35">
      <c r="A41" t="s">
        <v>39</v>
      </c>
      <c r="B41">
        <f>644+290+183+124+6+11+1+1+1+96+44+31+128+2+3+4+6+30</f>
        <v>1605</v>
      </c>
      <c r="H41">
        <f>62+6+11+1+1+1+96+44+31+128+2+3+4+6+30</f>
        <v>426</v>
      </c>
    </row>
    <row r="42" spans="1:8" x14ac:dyDescent="0.35">
      <c r="A42" t="s">
        <v>40</v>
      </c>
      <c r="B42">
        <f>644+290+183+124+6+11+1+1+1+96+44+31+128+2+3+4+6+28</f>
        <v>1603</v>
      </c>
      <c r="H42">
        <f>62+6+11+1+1+1+96+44+31+128+2+3+4+6+28</f>
        <v>424</v>
      </c>
    </row>
    <row r="43" spans="1:8" x14ac:dyDescent="0.35">
      <c r="A43" t="s">
        <v>41</v>
      </c>
      <c r="B43">
        <f>644+290+183+124+6+11+1+1+1+96+44+31+128+2+3+4+25</f>
        <v>1594</v>
      </c>
      <c r="H43">
        <f>62+6+11+1+1+1+96+44+31+128+2+3+4+25</f>
        <v>415</v>
      </c>
    </row>
    <row r="44" spans="1:8" x14ac:dyDescent="0.35">
      <c r="A44" t="s">
        <v>42</v>
      </c>
      <c r="B44">
        <f>644+290+183+124+6+11+1+1+1+96+44+31+128+2+3+6+1+14+14</f>
        <v>1600</v>
      </c>
      <c r="H44">
        <f>62+6+11+1+1+1+96+44+31+128+2+3+6+1+14+14</f>
        <v>421</v>
      </c>
    </row>
    <row r="45" spans="1:8" x14ac:dyDescent="0.35">
      <c r="A45" t="s">
        <v>43</v>
      </c>
      <c r="B45">
        <f>644+290+183+124+6+11+1+1+1+96+44+31+128+2+3+6+1+14+22</f>
        <v>1608</v>
      </c>
      <c r="H45">
        <f>62+6+11+1+1+1+96+44+31+128+2+3+6+1+14+22</f>
        <v>429</v>
      </c>
    </row>
    <row r="46" spans="1:8" x14ac:dyDescent="0.35">
      <c r="A46" t="s">
        <v>44</v>
      </c>
      <c r="B46">
        <f>644+290+183+124+6+11+1+1+1+96+44+31+128+2+3+6+1+25</f>
        <v>1597</v>
      </c>
      <c r="H46">
        <f>62+6+11+1+1+1+96+44+31+128+2+3+6+1+25</f>
        <v>418</v>
      </c>
    </row>
    <row r="47" spans="1:8" x14ac:dyDescent="0.35">
      <c r="A47" t="s">
        <v>45</v>
      </c>
      <c r="B47">
        <f>644+290+183+124+6+11+1+1+1+96+44+31+128+2+3+6+1+30</f>
        <v>1602</v>
      </c>
      <c r="H47">
        <f>62+6+11+1+1+1+96+44+31+128+2+3+6+1+30</f>
        <v>423</v>
      </c>
    </row>
    <row r="48" spans="1:8" x14ac:dyDescent="0.35">
      <c r="A48" t="s">
        <v>46</v>
      </c>
      <c r="B48">
        <f>644+290+183+124+6+11+1+1+1+96+44+31+128+2+3+6+1+9+1+13</f>
        <v>1595</v>
      </c>
      <c r="H48">
        <f>62+6+11+1+1+1+96+44+31+128+2+3+6+1+9+1+13</f>
        <v>416</v>
      </c>
    </row>
    <row r="49" spans="1:8" x14ac:dyDescent="0.35">
      <c r="A49" t="s">
        <v>47</v>
      </c>
      <c r="B49">
        <f>644+290+183+124+6+11+1+1+1+96+44+31+128+2+3+6+1+9+1+19</f>
        <v>1601</v>
      </c>
      <c r="H49">
        <f>62+6+11+1+1+1+96+44+31+128+2+3+6+1+9+1+19</f>
        <v>422</v>
      </c>
    </row>
    <row r="50" spans="1:8" x14ac:dyDescent="0.35">
      <c r="A50" t="s">
        <v>48</v>
      </c>
      <c r="B50">
        <f>644+290+183+124+6+11+1+1+1+96+44+31+128+2+3+6+1+9+1+12</f>
        <v>1594</v>
      </c>
      <c r="H50">
        <f>62+6+11+1+1+1+96+44+31+128+2+3+6+1+9+1+12</f>
        <v>415</v>
      </c>
    </row>
    <row r="51" spans="1:8" x14ac:dyDescent="0.35">
      <c r="A51" t="s">
        <v>49</v>
      </c>
      <c r="B51">
        <f>644+290+183+124+6+11+1+1+1+96+44+31+128+2+3+6+1+9+1+1+4</f>
        <v>1587</v>
      </c>
      <c r="H51">
        <f>62+6+11+1+1+1+96+44+31+128+2+3+6+1+9+1+1+4</f>
        <v>408</v>
      </c>
    </row>
    <row r="52" spans="1:8" x14ac:dyDescent="0.35">
      <c r="A52" t="s">
        <v>50</v>
      </c>
      <c r="B52">
        <f>644+290+183+124+6+11+1+1+1+96+44+31+128+2+3+6+1+9+1+1+12</f>
        <v>1595</v>
      </c>
      <c r="H52">
        <f>62+6+11+1+1+1+96+44+31+128+2+3+6+1+9+1+1+12</f>
        <v>416</v>
      </c>
    </row>
    <row r="53" spans="1:8" x14ac:dyDescent="0.35">
      <c r="A53" t="s">
        <v>51</v>
      </c>
      <c r="B53">
        <f>644+290+183+124+6+11+1+1+1+96+44+31+128+31</f>
        <v>1591</v>
      </c>
      <c r="H53">
        <f>62+6+11+1+1+1+96+44+31+128+31</f>
        <v>412</v>
      </c>
    </row>
    <row r="54" spans="1:8" x14ac:dyDescent="0.35">
      <c r="A54" t="s">
        <v>52</v>
      </c>
      <c r="B54">
        <f>644+290+183+124+6+11+1+1+1+96+44+31+17+142</f>
        <v>1591</v>
      </c>
      <c r="H54">
        <f>62+6+11+1+1+1+96+44+31+17+142</f>
        <v>412</v>
      </c>
    </row>
    <row r="55" spans="1:8" x14ac:dyDescent="0.35">
      <c r="A55" t="s">
        <v>53</v>
      </c>
      <c r="B55">
        <f>644+290+183+124+6+11+1+1+1+96+44+31+17+35+90+14</f>
        <v>1588</v>
      </c>
      <c r="H55">
        <f>62+6+11+1+1+1+96+44+31+17+35+90+14</f>
        <v>409</v>
      </c>
    </row>
    <row r="56" spans="1:8" x14ac:dyDescent="0.35">
      <c r="A56" t="s">
        <v>54</v>
      </c>
      <c r="B56">
        <f>644+290+183+124+6+11+1+1+1+96+44+31+17+35+90+18</f>
        <v>1592</v>
      </c>
      <c r="H56">
        <f>62+6+11+1+1+1+96+44+31+17+35+90+18</f>
        <v>413</v>
      </c>
    </row>
    <row r="57" spans="1:8" x14ac:dyDescent="0.35">
      <c r="A57" t="s">
        <v>55</v>
      </c>
      <c r="B57">
        <f>644+290+183+124+6+11+1+1+1+96+44+31+17+35+64+8+1+36</f>
        <v>1593</v>
      </c>
      <c r="H57">
        <f>62+6+11+1+1+1+96+44+31+17+35+64+8+1+36</f>
        <v>414</v>
      </c>
    </row>
    <row r="58" spans="1:8" x14ac:dyDescent="0.35">
      <c r="A58" t="s">
        <v>56</v>
      </c>
      <c r="B58">
        <f>644+290+183+124+6+11+1+1+1+96+44+31+17+35+64+8+1+49</f>
        <v>1606</v>
      </c>
      <c r="H58">
        <f>62+6+11+1+1+1+96+44+31+17+35+64+8+1+49</f>
        <v>427</v>
      </c>
    </row>
    <row r="59" spans="1:8" x14ac:dyDescent="0.35">
      <c r="A59" t="s">
        <v>57</v>
      </c>
      <c r="B59">
        <f>644+290+183+124+6+11+1+1+1+96+44+31+17+35+64+8+44</f>
        <v>1600</v>
      </c>
      <c r="H59">
        <f>62+6+11+1+1+1+96+44+31+17+35+64+8+44</f>
        <v>421</v>
      </c>
    </row>
    <row r="60" spans="1:8" x14ac:dyDescent="0.35">
      <c r="A60" t="s">
        <v>58</v>
      </c>
      <c r="B60">
        <f>644+290+183+124+6+11+1+1+1+96+44+31+17+35+64+8+3+45</f>
        <v>1604</v>
      </c>
      <c r="H60">
        <f>62+6+11+1+1+1+96+44+31+17+35+64+8+3+45</f>
        <v>425</v>
      </c>
    </row>
    <row r="61" spans="1:8" x14ac:dyDescent="0.35">
      <c r="A61" t="s">
        <v>59</v>
      </c>
      <c r="B61">
        <f>644+290+183+124+6+11+1+1+1+96+44+31+17+35+64+8+3+18</f>
        <v>1577</v>
      </c>
      <c r="H61">
        <f>62+6+11+1+1+1+96+44+31+17+35+64+8+3+18</f>
        <v>398</v>
      </c>
    </row>
    <row r="62" spans="1:8" x14ac:dyDescent="0.35">
      <c r="A62" t="s">
        <v>60</v>
      </c>
      <c r="B62">
        <f>644+290+183+124+6+11+1+1+1+96+44+31+17+35+64+8+10+35</f>
        <v>1601</v>
      </c>
      <c r="H62">
        <f>62+6+11+1+1+1+96+44+31+17+35+64+8+10+35</f>
        <v>422</v>
      </c>
    </row>
    <row r="63" spans="1:8" x14ac:dyDescent="0.35">
      <c r="A63" t="s">
        <v>61</v>
      </c>
      <c r="B63">
        <f>644+290+183+124+6+11+1+1+1+96+44+31+17+35+64+8+10+22</f>
        <v>1588</v>
      </c>
      <c r="H63">
        <f>62+6+11+1+1+1+96+44+31+17+35+64+8+10+22</f>
        <v>409</v>
      </c>
    </row>
    <row r="64" spans="1:8" x14ac:dyDescent="0.35">
      <c r="A64" t="s">
        <v>62</v>
      </c>
      <c r="B64">
        <f>644+290+183+124+6+11+1+1+1+96+44+31+17+35+64+10+30</f>
        <v>1588</v>
      </c>
      <c r="H64">
        <f>62+6+11+1+1+1+96+44+31+17+35+64+10+30</f>
        <v>409</v>
      </c>
    </row>
    <row r="65" spans="1:8" x14ac:dyDescent="0.35">
      <c r="A65" t="s">
        <v>63</v>
      </c>
      <c r="B65">
        <f>644+290+183+124+6+11+1+1+1+96+44+31+17+35+64+10+1+1+36</f>
        <v>1596</v>
      </c>
      <c r="H65">
        <f>62+6+11+1+1+1+96+44+31+17+35+64+10+1+1+36</f>
        <v>417</v>
      </c>
    </row>
    <row r="66" spans="1:8" x14ac:dyDescent="0.35">
      <c r="A66" t="s">
        <v>64</v>
      </c>
      <c r="B66">
        <f>644+290+183+124+6+11+1+1+1+96+44+31+17+35+64+10+1+1+29</f>
        <v>1589</v>
      </c>
      <c r="H66">
        <f>62+6+11+1+1+1+96+44+31+17+35+64+10+1+1+29</f>
        <v>410</v>
      </c>
    </row>
    <row r="67" spans="1:8" x14ac:dyDescent="0.35">
      <c r="A67" t="s">
        <v>65</v>
      </c>
      <c r="B67">
        <f>644+290+183+124+6+11+1+1+1+96+44+31+17+35+64+10+1+1+26</f>
        <v>1586</v>
      </c>
      <c r="H67">
        <f>62+6+11+1+1+1+96+44+31+17+35+64+10+1+1+26</f>
        <v>407</v>
      </c>
    </row>
    <row r="68" spans="1:8" x14ac:dyDescent="0.35">
      <c r="A68" t="s">
        <v>66</v>
      </c>
      <c r="B68">
        <f>644+290+183+124+6+11+1+1+1+96+44+31+17+35+64+10+1+1+36</f>
        <v>1596</v>
      </c>
      <c r="H68">
        <f>62+6+11+1+1+1+96+44+31+17+35+64+10+1+1+36</f>
        <v>417</v>
      </c>
    </row>
    <row r="69" spans="1:8" x14ac:dyDescent="0.35">
      <c r="A69" t="s">
        <v>67</v>
      </c>
      <c r="B69">
        <f>644+290+183+124+6+11+1+1+1+96+44+31+17+35+64+10+1+1+26+2</f>
        <v>1588</v>
      </c>
      <c r="H69">
        <f>62+6+11+1+1+1+96+44+31+17+35+64+10+1+1+26+2</f>
        <v>409</v>
      </c>
    </row>
    <row r="70" spans="1:8" x14ac:dyDescent="0.35">
      <c r="A70" t="s">
        <v>68</v>
      </c>
      <c r="B70">
        <f>644+290+183+124+6+11+1+1+1+96+44+31+17+35+64+10+1+1+26+3</f>
        <v>1589</v>
      </c>
      <c r="H70">
        <f>62+6+11+1+1+1+96+44+31+17+35+64+10+1+1+26+3</f>
        <v>410</v>
      </c>
    </row>
    <row r="71" spans="1:8" x14ac:dyDescent="0.35">
      <c r="A71" t="s">
        <v>69</v>
      </c>
      <c r="B71">
        <f>644+290+183+124+6+11+1+1+1+96+44+140+77</f>
        <v>1618</v>
      </c>
      <c r="H71">
        <f>62+6+11+1+1+1+96+44+140+77</f>
        <v>439</v>
      </c>
    </row>
    <row r="72" spans="1:8" x14ac:dyDescent="0.35">
      <c r="A72" t="s">
        <v>70</v>
      </c>
      <c r="B72">
        <f>644+290+183+124+6+11+1+1+1+96+44+140+12+66</f>
        <v>1619</v>
      </c>
      <c r="H72">
        <f>62+6+11+1+1+1+96+44+140+12+66</f>
        <v>440</v>
      </c>
    </row>
    <row r="73" spans="1:8" x14ac:dyDescent="0.35">
      <c r="A73" t="s">
        <v>71</v>
      </c>
      <c r="B73">
        <f>644+290+183+124+6+11+1+1+1+96+44+140+12+58</f>
        <v>1611</v>
      </c>
      <c r="H73">
        <f>62+6+11+1+1+1+96+44+140+12+58</f>
        <v>432</v>
      </c>
    </row>
    <row r="74" spans="1:8" x14ac:dyDescent="0.35">
      <c r="A74" t="s">
        <v>72</v>
      </c>
      <c r="B74">
        <f>644+290+183+124+6+11+1+1+1+96+44+140+12+37+15</f>
        <v>1605</v>
      </c>
      <c r="H74">
        <f>62+6+11+1+1+1+96+44+140+12+37+15</f>
        <v>426</v>
      </c>
    </row>
    <row r="75" spans="1:8" x14ac:dyDescent="0.35">
      <c r="A75" t="s">
        <v>73</v>
      </c>
      <c r="B75">
        <f>644+290+183+124+6+11+1+1+1+96+44+140+12+37+17</f>
        <v>1607</v>
      </c>
      <c r="H75">
        <f>62+6+11+1+1+1+96+44+140+12+37+17</f>
        <v>428</v>
      </c>
    </row>
    <row r="76" spans="1:8" x14ac:dyDescent="0.35">
      <c r="A76" t="s">
        <v>74</v>
      </c>
      <c r="B76">
        <f>644+290+183+124+6+11+1+1+1+96+44+20+77+125+2+5</f>
        <v>1630</v>
      </c>
      <c r="H76">
        <f>62+6+11+1+1+1+96+44+20+77+125+2+5</f>
        <v>451</v>
      </c>
    </row>
    <row r="77" spans="1:8" x14ac:dyDescent="0.35">
      <c r="A77" t="s">
        <v>75</v>
      </c>
      <c r="B77">
        <f>644+290+183+124+6+11+1+1+1+96+44+20+77+125+2+5+3</f>
        <v>1633</v>
      </c>
      <c r="H77">
        <f>62+6+11+1+1+1+96+44+20+77+125+2+5+3</f>
        <v>454</v>
      </c>
    </row>
    <row r="78" spans="1:8" x14ac:dyDescent="0.35">
      <c r="A78" t="s">
        <v>76</v>
      </c>
      <c r="B78">
        <f>644+290+183+124+6+11+1+1+1+96+44+20+77+125+2+13</f>
        <v>1638</v>
      </c>
      <c r="H78">
        <f>62+6+11+1+1+1+96+44+20+77+125+2+13</f>
        <v>459</v>
      </c>
    </row>
    <row r="79" spans="1:8" x14ac:dyDescent="0.35">
      <c r="A79" t="s">
        <v>77</v>
      </c>
      <c r="B79">
        <f>644+290+183+124+6+11+1+1+1+96+44+20+77+125+6</f>
        <v>1629</v>
      </c>
      <c r="H79">
        <f>62+6+11+1+1+1+96+44+20+77+125+6</f>
        <v>450</v>
      </c>
    </row>
    <row r="80" spans="1:8" x14ac:dyDescent="0.35">
      <c r="A80" t="s">
        <v>78</v>
      </c>
      <c r="B80">
        <f>644+290+183+124+6+11+1+1+1+96+44+20+77+113</f>
        <v>1611</v>
      </c>
      <c r="H80">
        <f>62+6+11+1+1+1+96+44+20+77+113</f>
        <v>432</v>
      </c>
    </row>
    <row r="81" spans="1:8" x14ac:dyDescent="0.35">
      <c r="A81" t="s">
        <v>79</v>
      </c>
      <c r="B81">
        <f>644+290+183+124+6+11+1+1+1+96+44+20+179+1</f>
        <v>1601</v>
      </c>
      <c r="H81">
        <f>62+6+11+1+1+1+96+44+20+179+1</f>
        <v>422</v>
      </c>
    </row>
    <row r="82" spans="1:8" x14ac:dyDescent="0.35">
      <c r="A82" t="s">
        <v>80</v>
      </c>
      <c r="B82">
        <f>644+290+183+124+6+11+1+1+1+96+44+20+179+1+3</f>
        <v>1604</v>
      </c>
      <c r="H82">
        <f>62+6+11+1+1+1+96+44+20+179+1+3</f>
        <v>425</v>
      </c>
    </row>
    <row r="83" spans="1:8" x14ac:dyDescent="0.35">
      <c r="A83" t="s">
        <v>81</v>
      </c>
      <c r="B83">
        <f>644+290+183+124+6+11+1+1+1+96+44+20+179+1+5</f>
        <v>1606</v>
      </c>
      <c r="H83">
        <f>62+6+11+1+1+1+96+44+20+179+1+5</f>
        <v>427</v>
      </c>
    </row>
    <row r="84" spans="1:8" x14ac:dyDescent="0.35">
      <c r="A84" t="s">
        <v>82</v>
      </c>
      <c r="B84">
        <f>644+290+183+124+6+11+1+1+1+96+44+39+92+63</f>
        <v>1595</v>
      </c>
      <c r="H84">
        <f>62+6+11+1+1+1+96+44+39+92+63</f>
        <v>416</v>
      </c>
    </row>
    <row r="85" spans="1:8" x14ac:dyDescent="0.35">
      <c r="A85" t="s">
        <v>83</v>
      </c>
      <c r="B85">
        <f>644+290+183+124+6+11+1+1+1+96+44+39+92+77</f>
        <v>1609</v>
      </c>
      <c r="H85">
        <f>62+6+11+1+1+1+96+44+39+92+77</f>
        <v>430</v>
      </c>
    </row>
    <row r="86" spans="1:8" x14ac:dyDescent="0.35">
      <c r="A86" t="s">
        <v>84</v>
      </c>
      <c r="B86">
        <f>644+290+183+124+6+11+1+1+1+96+44+39+35+58+23+16+20</f>
        <v>1592</v>
      </c>
      <c r="H86">
        <f>62+6+11+1+1+1+96+44+39+35+58+23+16+20</f>
        <v>413</v>
      </c>
    </row>
    <row r="87" spans="1:8" x14ac:dyDescent="0.35">
      <c r="A87" t="s">
        <v>85</v>
      </c>
      <c r="B87">
        <f>644+290+183+124+6+11+1+1+1+96+44+39+35+58+23+16+18</f>
        <v>1590</v>
      </c>
      <c r="H87">
        <f>62+6+11+1+1+1+96+44+39+35+58+23+16+18</f>
        <v>411</v>
      </c>
    </row>
    <row r="88" spans="1:8" x14ac:dyDescent="0.35">
      <c r="A88" t="s">
        <v>86</v>
      </c>
      <c r="B88">
        <f>644+290+183+124+6+11+1+1+1+96+44+39+35+58+23+36</f>
        <v>1592</v>
      </c>
      <c r="H88">
        <f>62+6+11+1+1+1+96+44+39+35+58+23+36</f>
        <v>413</v>
      </c>
    </row>
    <row r="89" spans="1:8" x14ac:dyDescent="0.35">
      <c r="A89" t="s">
        <v>87</v>
      </c>
      <c r="B89">
        <f>644+290+183+124+6+11+1+1+1+96+44+39+35+58+63</f>
        <v>1596</v>
      </c>
      <c r="H89">
        <f>62+6+11+1+1+1+96+44+39+35+58+63</f>
        <v>417</v>
      </c>
    </row>
    <row r="90" spans="1:8" x14ac:dyDescent="0.35">
      <c r="A90" t="s">
        <v>88</v>
      </c>
      <c r="B90">
        <f>644+290+183+124+6+11+1+1+1+96+44+39+35+13+111</f>
        <v>1599</v>
      </c>
      <c r="H90">
        <f>62+6+11+1+1+1+96+44+39+35+13+111</f>
        <v>420</v>
      </c>
    </row>
    <row r="91" spans="1:8" x14ac:dyDescent="0.35">
      <c r="A91" t="s">
        <v>89</v>
      </c>
      <c r="B91">
        <f>644+290+183+124+6+11+1+1+1+96+44+39+35+13+1+104</f>
        <v>1593</v>
      </c>
      <c r="H91">
        <f>62+6+11+1+1+1+96+44+39+35+13+1+104</f>
        <v>414</v>
      </c>
    </row>
    <row r="92" spans="1:8" x14ac:dyDescent="0.35">
      <c r="A92" t="s">
        <v>90</v>
      </c>
      <c r="B92">
        <f>644+290+183+124+6+11+1+1+1+96+44+39+35+13+1+1+15+92</f>
        <v>1597</v>
      </c>
      <c r="H92">
        <f>62+6+11+1+1+1+96+44+39+35+13+1+1+15+92</f>
        <v>418</v>
      </c>
    </row>
    <row r="93" spans="1:8" x14ac:dyDescent="0.35">
      <c r="A93" t="s">
        <v>91</v>
      </c>
      <c r="B93">
        <f>644+290+183+124+6+11+1+1+1+96+44+39+35+13+1+1+15+82</f>
        <v>1587</v>
      </c>
      <c r="H93">
        <f>62+6+11+1+1+1+96+44+39+35+13+1+1+15+82</f>
        <v>408</v>
      </c>
    </row>
    <row r="94" spans="1:8" x14ac:dyDescent="0.35">
      <c r="A94" t="s">
        <v>92</v>
      </c>
      <c r="B94">
        <f>644+290+183+124+6+11+1+1+1+96+44+39+35+13+1+1+96</f>
        <v>1586</v>
      </c>
      <c r="H94">
        <f>62+6+11+1+1+1+96+44+39+35+13+1+1+96</f>
        <v>407</v>
      </c>
    </row>
    <row r="95" spans="1:8" x14ac:dyDescent="0.35">
      <c r="A95" t="s">
        <v>93</v>
      </c>
      <c r="B95">
        <f>644+290+183+124+6+11+1+1+1+96+44+39+35+13+1+1+1+86+8</f>
        <v>1585</v>
      </c>
      <c r="H95">
        <f>62+6+11+1+1+1+96+44+39+35+13+1+1+1+86+8</f>
        <v>406</v>
      </c>
    </row>
    <row r="96" spans="1:8" x14ac:dyDescent="0.35">
      <c r="A96" t="s">
        <v>94</v>
      </c>
      <c r="B96">
        <f>644+290+183+124+6+11+1+1+1+96+44+39+35+13+1+1+1+86+4</f>
        <v>1581</v>
      </c>
      <c r="H96">
        <f>62+6+11+1+1+1+96+44+39+35+13+1+1+1+86+4</f>
        <v>402</v>
      </c>
    </row>
    <row r="97" spans="1:8" x14ac:dyDescent="0.35">
      <c r="A97" t="s">
        <v>95</v>
      </c>
      <c r="B97">
        <f>644+290+183+124+6+11+1+1+1+96+44+39+35+13+1+1+1+124</f>
        <v>1615</v>
      </c>
      <c r="H97">
        <f>62+6+11+1+1+1+96+44+39+35+13+1+1+1+124</f>
        <v>436</v>
      </c>
    </row>
    <row r="98" spans="1:8" x14ac:dyDescent="0.35">
      <c r="A98" t="s">
        <v>96</v>
      </c>
      <c r="B98">
        <f>644+290+183+124+6+11+1+1+1+96+44+39+35+13+1+1+74+9</f>
        <v>1573</v>
      </c>
      <c r="H98">
        <f>62+6+11+1+1+1+96+44+39+35+13+1+1+74+9</f>
        <v>394</v>
      </c>
    </row>
    <row r="99" spans="1:8" x14ac:dyDescent="0.35">
      <c r="A99" t="s">
        <v>97</v>
      </c>
      <c r="B99">
        <f>644+290+183+124+6+11+1+1+1+96+44+39+35+13+1+1+74+11</f>
        <v>1575</v>
      </c>
      <c r="H99">
        <f>62+6+11+1+1+1+96+44+39+35+13+1+1+74+11</f>
        <v>396</v>
      </c>
    </row>
    <row r="100" spans="1:8" x14ac:dyDescent="0.35">
      <c r="A100" t="s">
        <v>98</v>
      </c>
      <c r="B100">
        <f>644+290+183+124+6+11+1+1+1+96+44+39+35+13+1+1+74+14</f>
        <v>1578</v>
      </c>
      <c r="H100">
        <f>62+6+11+1+1+1+96+44+39+35+13+1+1+74+14</f>
        <v>399</v>
      </c>
    </row>
    <row r="101" spans="1:8" x14ac:dyDescent="0.35">
      <c r="A101" t="s">
        <v>99</v>
      </c>
      <c r="B101">
        <f>644+290+183+124+6+11+1+1+1+96+44+39+35+13+1+1+74+14+4</f>
        <v>1582</v>
      </c>
      <c r="H101">
        <f>62+6+11+1+1+1+96+44+39+35+13+1+1+74+14+4</f>
        <v>403</v>
      </c>
    </row>
    <row r="102" spans="1:8" x14ac:dyDescent="0.35">
      <c r="A102" t="s">
        <v>100</v>
      </c>
      <c r="B102">
        <f>644+290+183+124+6+11+1+1+1+333</f>
        <v>1594</v>
      </c>
      <c r="H102">
        <f>62+6+11+1+1+1+333</f>
        <v>415</v>
      </c>
    </row>
    <row r="103" spans="1:8" x14ac:dyDescent="0.35">
      <c r="A103" t="s">
        <v>101</v>
      </c>
      <c r="B103">
        <f>644+290+183+124+6+11+1+1+4+295+32+14</f>
        <v>1605</v>
      </c>
      <c r="H103">
        <f>62+6+11+1+1+4+295+32+14</f>
        <v>426</v>
      </c>
    </row>
    <row r="104" spans="1:8" x14ac:dyDescent="0.35">
      <c r="A104" t="s">
        <v>102</v>
      </c>
      <c r="B104">
        <f>644+290+183+124+6+11+1+1+4+295+32+19</f>
        <v>1610</v>
      </c>
      <c r="H104">
        <f>62+6+11+1+1+4+295+32+19</f>
        <v>431</v>
      </c>
    </row>
    <row r="105" spans="1:8" x14ac:dyDescent="0.35">
      <c r="A105" t="s">
        <v>103</v>
      </c>
      <c r="B105">
        <f>644+290+183+124+6+11+1+1+4+295+37</f>
        <v>1596</v>
      </c>
      <c r="H105">
        <f>62+6+11+1+1+4+295+37</f>
        <v>417</v>
      </c>
    </row>
    <row r="106" spans="1:8" x14ac:dyDescent="0.35">
      <c r="A106" t="s">
        <v>104</v>
      </c>
      <c r="B106">
        <f>644+290+183+124+6+11+1+1+4+2+1+322</f>
        <v>1589</v>
      </c>
      <c r="H106">
        <f>62+6+11+1+1+4+2+1+322</f>
        <v>410</v>
      </c>
    </row>
    <row r="107" spans="1:8" x14ac:dyDescent="0.35">
      <c r="A107" t="s">
        <v>105</v>
      </c>
      <c r="B107">
        <f>644+290+183+124+6+11+1+1+4+2+1+354</f>
        <v>1621</v>
      </c>
      <c r="H107">
        <f>62+6+11+1+1+4+2+1+354</f>
        <v>442</v>
      </c>
    </row>
    <row r="108" spans="1:8" x14ac:dyDescent="0.35">
      <c r="A108" t="s">
        <v>106</v>
      </c>
      <c r="B108">
        <f>644+290+183+124+6+11+1+1+4+2+348+10</f>
        <v>1624</v>
      </c>
      <c r="H108">
        <f>62+6+11+1+1+4+2+348+10</f>
        <v>445</v>
      </c>
    </row>
    <row r="109" spans="1:8" x14ac:dyDescent="0.35">
      <c r="A109" t="s">
        <v>107</v>
      </c>
      <c r="B109">
        <f>644+290+183+124+6+11+1+1+4+2+348+9</f>
        <v>1623</v>
      </c>
      <c r="H109">
        <f>62+6+11+1+1+4+2+348+9</f>
        <v>444</v>
      </c>
    </row>
    <row r="110" spans="1:8" x14ac:dyDescent="0.35">
      <c r="A110" t="s">
        <v>108</v>
      </c>
      <c r="B110">
        <f>644+290+183+124+6+11+1+46+57+3+167+30+1+7+45</f>
        <v>1615</v>
      </c>
      <c r="H110">
        <f>62+6+11+1+46+57+3+167+30+1+7+45</f>
        <v>436</v>
      </c>
    </row>
    <row r="111" spans="1:8" x14ac:dyDescent="0.35">
      <c r="A111" t="s">
        <v>109</v>
      </c>
      <c r="B111">
        <f>644+290+183+124+6+11+1+46+57+3+167+30+1+7+46</f>
        <v>1616</v>
      </c>
      <c r="H111">
        <f>62+6+11+1+46+57+3+167+30+1+7+46</f>
        <v>437</v>
      </c>
    </row>
    <row r="112" spans="1:8" x14ac:dyDescent="0.35">
      <c r="A112" t="s">
        <v>110</v>
      </c>
      <c r="B112">
        <f>644+290+183+124+6+11+1+46+57+3+167+30+1+48</f>
        <v>1611</v>
      </c>
      <c r="H112">
        <f>62+6+11+1+46+57+3+167+30+1+48</f>
        <v>432</v>
      </c>
    </row>
    <row r="113" spans="1:8" x14ac:dyDescent="0.35">
      <c r="A113" t="s">
        <v>111</v>
      </c>
      <c r="B113">
        <f>644+290+183+124+6+11+1+46+57+3+167+30+1+45</f>
        <v>1608</v>
      </c>
      <c r="H113">
        <f>62+6+11+1+46+57+3+167+30+1+45</f>
        <v>429</v>
      </c>
    </row>
    <row r="114" spans="1:8" x14ac:dyDescent="0.35">
      <c r="A114" t="s">
        <v>112</v>
      </c>
      <c r="B114">
        <f>644+290+183+124+6+11+1+46+57+3+167+30+3+41</f>
        <v>1606</v>
      </c>
      <c r="H114">
        <f>62+6+11+1+46+57+3+167+30+3+41</f>
        <v>427</v>
      </c>
    </row>
    <row r="115" spans="1:8" x14ac:dyDescent="0.35">
      <c r="A115" t="s">
        <v>113</v>
      </c>
      <c r="B115">
        <f>644+290+183+124+6+11+1+46+57+3+167+30+3+34+15</f>
        <v>1614</v>
      </c>
      <c r="H115">
        <f>62+6+11+1+46+57+3+167+30+3+34+15</f>
        <v>435</v>
      </c>
    </row>
    <row r="116" spans="1:8" x14ac:dyDescent="0.35">
      <c r="A116" t="s">
        <v>114</v>
      </c>
      <c r="B116">
        <f>644+290+183+124+6+11+1+46+57+3+167+30+3+34+9</f>
        <v>1608</v>
      </c>
      <c r="H116">
        <f>62+6+11+1+46+57+3+167+30+3+34+9</f>
        <v>429</v>
      </c>
    </row>
    <row r="117" spans="1:8" x14ac:dyDescent="0.35">
      <c r="A117" t="s">
        <v>115</v>
      </c>
      <c r="B117">
        <f>644+290+183+124+6+11+1+46+57+3+167+39+50</f>
        <v>1621</v>
      </c>
      <c r="H117">
        <f>62+6+11+1+46+57+3+167+39+50</f>
        <v>442</v>
      </c>
    </row>
    <row r="118" spans="1:8" x14ac:dyDescent="0.35">
      <c r="A118" t="s">
        <v>116</v>
      </c>
      <c r="B118">
        <f>644+290+183+124+6+11+1+46+57+3+167+39+48</f>
        <v>1619</v>
      </c>
      <c r="H118">
        <f>62+6+11+1+46+57+3+167+39+48</f>
        <v>440</v>
      </c>
    </row>
    <row r="119" spans="1:8" x14ac:dyDescent="0.35">
      <c r="A119" t="s">
        <v>117</v>
      </c>
      <c r="B119">
        <f>644+290+183+124+6+11+1+46+57+3+125+142</f>
        <v>1632</v>
      </c>
      <c r="H119">
        <f>62+6+11+1+46+57+3+125+142</f>
        <v>453</v>
      </c>
    </row>
    <row r="120" spans="1:8" x14ac:dyDescent="0.35">
      <c r="A120" t="s">
        <v>118</v>
      </c>
      <c r="B120">
        <f>644+290+183+124+6+11+1+46+57+3+125+114</f>
        <v>1604</v>
      </c>
      <c r="H120">
        <f>62+6+11+1+46+57+3+125+114</f>
        <v>425</v>
      </c>
    </row>
    <row r="121" spans="1:8" x14ac:dyDescent="0.35">
      <c r="A121" t="s">
        <v>119</v>
      </c>
      <c r="B121">
        <f>644+290+183+124+6+11+1+46+57+3+125+78+39</f>
        <v>1607</v>
      </c>
      <c r="H121">
        <f>62+6+11+1+46+57+3+125+78+39</f>
        <v>428</v>
      </c>
    </row>
    <row r="122" spans="1:8" x14ac:dyDescent="0.35">
      <c r="A122" t="s">
        <v>120</v>
      </c>
      <c r="B122">
        <f>644+290+183+124+6+11+1+46+57+3+125+78+5+30</f>
        <v>1603</v>
      </c>
      <c r="H122">
        <f>62+6+11+1+46+57+3+125+78+5+30</f>
        <v>424</v>
      </c>
    </row>
    <row r="123" spans="1:8" x14ac:dyDescent="0.35">
      <c r="A123" t="s">
        <v>121</v>
      </c>
      <c r="B123">
        <f>644+290+183+124+6+11+1+46+57+3+125+78+5+3+29</f>
        <v>1605</v>
      </c>
      <c r="H123">
        <f>62+6+11+1+46+57+3+125+78+5+3+29</f>
        <v>426</v>
      </c>
    </row>
    <row r="124" spans="1:8" x14ac:dyDescent="0.35">
      <c r="A124" t="s">
        <v>122</v>
      </c>
      <c r="B124">
        <f>644+290+183+124+6+11+1+46+57+3+125+78+5+3+33</f>
        <v>1609</v>
      </c>
      <c r="H124">
        <f>62+6+11+1+46+57+3+125+78+5+3+33</f>
        <v>430</v>
      </c>
    </row>
    <row r="125" spans="1:8" x14ac:dyDescent="0.35">
      <c r="A125" t="s">
        <v>123</v>
      </c>
      <c r="B125">
        <f>644+290+183+124+6+11+1+46+57+56+175</f>
        <v>1593</v>
      </c>
      <c r="H125">
        <f>62+6+11+1+46+57+56+175</f>
        <v>414</v>
      </c>
    </row>
    <row r="126" spans="1:8" x14ac:dyDescent="0.35">
      <c r="A126" t="s">
        <v>124</v>
      </c>
      <c r="B126">
        <f>644+290+183+124+6+11+1+46+57+56+30+96+80</f>
        <v>1624</v>
      </c>
      <c r="H126">
        <f>62+6+11+1+46+57+56+30+96+80</f>
        <v>445</v>
      </c>
    </row>
    <row r="127" spans="1:8" x14ac:dyDescent="0.35">
      <c r="A127" t="s">
        <v>125</v>
      </c>
      <c r="B127">
        <f>644+290+183+124+6+11+1+46+57+56+30+96+40</f>
        <v>1584</v>
      </c>
      <c r="H127">
        <f>62+6+11+1+46+57+56+30+96+40</f>
        <v>405</v>
      </c>
    </row>
    <row r="128" spans="1:8" x14ac:dyDescent="0.35">
      <c r="A128" t="s">
        <v>126</v>
      </c>
      <c r="B128">
        <f>644+290+183+124+6+11+1+46+57+56+30+16+122</f>
        <v>1586</v>
      </c>
      <c r="H128">
        <f>62+6+11+1+46+57+56+30+16+122</f>
        <v>407</v>
      </c>
    </row>
    <row r="129" spans="1:8" x14ac:dyDescent="0.35">
      <c r="A129" t="s">
        <v>127</v>
      </c>
      <c r="B129">
        <f>644+290+183+124+6+11+1+46+57+56+30+16+81+53</f>
        <v>1598</v>
      </c>
      <c r="H129">
        <f>62+6+11+1+46+57+56+30+16+81+53</f>
        <v>419</v>
      </c>
    </row>
    <row r="130" spans="1:8" x14ac:dyDescent="0.35">
      <c r="A130" t="s">
        <v>128</v>
      </c>
      <c r="B130">
        <f>644+290+183+124+6+11+1+46+57+56+30+16+81+13+40</f>
        <v>1598</v>
      </c>
      <c r="H130">
        <f>62+6+11+1+46+57+56+30+16+81+13+40</f>
        <v>419</v>
      </c>
    </row>
    <row r="131" spans="1:8" x14ac:dyDescent="0.35">
      <c r="A131" t="s">
        <v>129</v>
      </c>
      <c r="B131">
        <f>644+290+183+124+6+11+1+46+57+56+30+16+81+13+1+43</f>
        <v>1602</v>
      </c>
      <c r="H131">
        <f>62+6+11+1+46+57+56+30+16+81+13+1+43</f>
        <v>423</v>
      </c>
    </row>
    <row r="132" spans="1:8" x14ac:dyDescent="0.35">
      <c r="A132" t="s">
        <v>130</v>
      </c>
      <c r="B132">
        <f>644+290+183+124+6+11+1+46+57+56+30+16+81+13+1+8+29</f>
        <v>1596</v>
      </c>
      <c r="H132">
        <f>62+6+11+1+46+57+56+30+16+81+13+1+8+29</f>
        <v>417</v>
      </c>
    </row>
    <row r="133" spans="1:8" x14ac:dyDescent="0.35">
      <c r="A133" t="s">
        <v>131</v>
      </c>
      <c r="B133">
        <f>644+290+183+124+6+11+1+46+57+56+30+16+81+13+1+8+40</f>
        <v>1607</v>
      </c>
      <c r="H133">
        <f>62+6+11+1+46+57+56+30+16+81+13+1+8+40</f>
        <v>428</v>
      </c>
    </row>
    <row r="134" spans="1:8" x14ac:dyDescent="0.35">
      <c r="A134" t="s">
        <v>132</v>
      </c>
      <c r="B134">
        <f>644+290+183+124+6+11+1+46+154+84+8+3+3+9+5</f>
        <v>1571</v>
      </c>
      <c r="H134">
        <f>62+6+11+1+46+154+84+8+3+3+9+5</f>
        <v>392</v>
      </c>
    </row>
    <row r="135" spans="1:8" x14ac:dyDescent="0.35">
      <c r="A135" t="s">
        <v>133</v>
      </c>
      <c r="B135">
        <f>644+290+183+124+6+11+1+46+154+84+8+3+3+9+7</f>
        <v>1573</v>
      </c>
      <c r="H135">
        <f>62+6+11+1+46+154+84+8+3+3+9+7</f>
        <v>394</v>
      </c>
    </row>
    <row r="136" spans="1:8" x14ac:dyDescent="0.35">
      <c r="A136" t="s">
        <v>134</v>
      </c>
      <c r="B136">
        <f>644+290+183+124+6+11+1+46+154+84+8+3+3+10</f>
        <v>1567</v>
      </c>
      <c r="H136">
        <f>62+6+11+1+46+154+84+8+3+3+10</f>
        <v>388</v>
      </c>
    </row>
    <row r="137" spans="1:8" x14ac:dyDescent="0.35">
      <c r="A137" t="s">
        <v>135</v>
      </c>
      <c r="B137">
        <f>644+290+183+124+6+11+1+46+154+84+8+3+8+7</f>
        <v>1569</v>
      </c>
      <c r="H137">
        <f>62+6+11+1+46+154+84+8+3+8+7</f>
        <v>390</v>
      </c>
    </row>
    <row r="138" spans="1:8" x14ac:dyDescent="0.35">
      <c r="A138" t="s">
        <v>136</v>
      </c>
      <c r="B138">
        <f>644+290+183+124+6+11+1+46+154+84+8+3+8+7</f>
        <v>1569</v>
      </c>
      <c r="H138">
        <f>62+6+11+1+46+154+84+8+3+8+7</f>
        <v>390</v>
      </c>
    </row>
    <row r="139" spans="1:8" x14ac:dyDescent="0.35">
      <c r="A139" t="s">
        <v>137</v>
      </c>
      <c r="B139">
        <f>644+290+183+124+6+11+1+46+154+84+8+1+23</f>
        <v>1575</v>
      </c>
      <c r="H139">
        <f>62+6+11+1+46+154+84+8+1+23</f>
        <v>396</v>
      </c>
    </row>
    <row r="140" spans="1:8" x14ac:dyDescent="0.35">
      <c r="A140" t="s">
        <v>138</v>
      </c>
      <c r="B140">
        <f>644+290+183+124+6+11+1+46+154+84+8+1+14+5</f>
        <v>1571</v>
      </c>
      <c r="H140">
        <f>62+6+11+1+46+154+84+8+1+14+5</f>
        <v>392</v>
      </c>
    </row>
    <row r="141" spans="1:8" x14ac:dyDescent="0.35">
      <c r="A141" t="s">
        <v>139</v>
      </c>
      <c r="B141">
        <f>644+290+183+124+6+11+1+46+154+84+8+1+14+2+11</f>
        <v>1579</v>
      </c>
      <c r="H141">
        <f>62+6+11+1+46+154+84+8+1+14+2+11</f>
        <v>400</v>
      </c>
    </row>
    <row r="142" spans="1:8" x14ac:dyDescent="0.35">
      <c r="A142" t="s">
        <v>140</v>
      </c>
      <c r="B142">
        <f>644+290+183+124+6+11+1+46+154+84+8+1+14+2+16</f>
        <v>1584</v>
      </c>
      <c r="H142">
        <f>62+6+11+1+46+154+84+8+1+14+2+16</f>
        <v>405</v>
      </c>
    </row>
    <row r="143" spans="1:8" x14ac:dyDescent="0.35">
      <c r="A143" t="s">
        <v>141</v>
      </c>
      <c r="B143">
        <f>644+290+183+124+6+11+1+46+154+84+32</f>
        <v>1575</v>
      </c>
      <c r="H143">
        <f>62+6+11+1+46+154+84+32</f>
        <v>396</v>
      </c>
    </row>
    <row r="144" spans="1:8" x14ac:dyDescent="0.35">
      <c r="A144" t="s">
        <v>142</v>
      </c>
      <c r="B144">
        <f>644+290+183+124+6+11+1+46+154+84+11+25</f>
        <v>1579</v>
      </c>
      <c r="H144">
        <f>62+6+11+1+46+154+84+11+25</f>
        <v>400</v>
      </c>
    </row>
    <row r="145" spans="1:8" x14ac:dyDescent="0.35">
      <c r="A145" t="s">
        <v>143</v>
      </c>
      <c r="B145">
        <f>644+290+183+124+6+11+1+46+154+84+11+17</f>
        <v>1571</v>
      </c>
      <c r="H145">
        <f>62+6+11+1+46+154+84+11+17</f>
        <v>392</v>
      </c>
    </row>
    <row r="146" spans="1:8" x14ac:dyDescent="0.35">
      <c r="A146" t="s">
        <v>144</v>
      </c>
      <c r="B146">
        <f>644+290+183+124+6+11+1+46+154+42+77</f>
        <v>1578</v>
      </c>
      <c r="H146">
        <f>62+6+11+1+46+154+42+77</f>
        <v>399</v>
      </c>
    </row>
    <row r="147" spans="1:8" x14ac:dyDescent="0.35">
      <c r="A147" t="s">
        <v>145</v>
      </c>
      <c r="B147">
        <f>644+290+183+124+6+11+1+46+154+42+19+26+17+6+11</f>
        <v>1580</v>
      </c>
      <c r="H147">
        <f>62+6+11+1+46+154+42+19+26+17+6+11</f>
        <v>401</v>
      </c>
    </row>
    <row r="148" spans="1:8" x14ac:dyDescent="0.35">
      <c r="A148" t="s">
        <v>146</v>
      </c>
      <c r="B148">
        <f>644+290+183+124+6+11+1+46+154+42+19+26+17+6+10</f>
        <v>1579</v>
      </c>
      <c r="H148">
        <f>62+6+11+1+46+154+42+19+26+17+6+10</f>
        <v>400</v>
      </c>
    </row>
    <row r="149" spans="1:8" x14ac:dyDescent="0.35">
      <c r="A149" t="s">
        <v>147</v>
      </c>
      <c r="B149">
        <f>644+290+183+124+6+11+1+46+154+42+19+26+17+12</f>
        <v>1575</v>
      </c>
      <c r="H149">
        <f>62+6+11+1+46+154+42+19+26+17+12</f>
        <v>396</v>
      </c>
    </row>
    <row r="150" spans="1:8" x14ac:dyDescent="0.35">
      <c r="A150" t="s">
        <v>148</v>
      </c>
      <c r="B150">
        <f>644+290+183+124+6+11+1+46+154+42+19+26+28</f>
        <v>1574</v>
      </c>
      <c r="H150">
        <f>62+6+11+1+46+154+42+19+26+28</f>
        <v>395</v>
      </c>
    </row>
    <row r="151" spans="1:8" x14ac:dyDescent="0.35">
      <c r="A151" t="s">
        <v>149</v>
      </c>
      <c r="B151">
        <f>644+290+183+124+6+11+1+46+154+42+19+7+13+19+4+1+7</f>
        <v>1571</v>
      </c>
      <c r="H151">
        <f>62+6+11+1+46+154+42+19+7+13+19+4+1+7</f>
        <v>392</v>
      </c>
    </row>
    <row r="152" spans="1:8" x14ac:dyDescent="0.35">
      <c r="A152" t="s">
        <v>150</v>
      </c>
      <c r="B152">
        <f>644+290+183+124+6+11+1+46+154+42+19+7+13+19+4+1+3</f>
        <v>1567</v>
      </c>
      <c r="H152">
        <f>62+6+11+1+46+154+42+19+7+13+19+4+1+3</f>
        <v>388</v>
      </c>
    </row>
    <row r="153" spans="1:8" x14ac:dyDescent="0.35">
      <c r="A153" t="s">
        <v>151</v>
      </c>
      <c r="B153">
        <f>644+290+183+124+6+11+1+46+154+42+19+7+13+19+4+4</f>
        <v>1567</v>
      </c>
      <c r="H153">
        <f>62+6+11+1+46+154+42+19+7+13+19+4+4</f>
        <v>388</v>
      </c>
    </row>
    <row r="154" spans="1:8" x14ac:dyDescent="0.35">
      <c r="A154" t="s">
        <v>152</v>
      </c>
      <c r="B154">
        <f>644+290+183+124+6+11+1+46+154+42+19+7+13+19+10</f>
        <v>1569</v>
      </c>
      <c r="H154">
        <f>62+6+11+1+46+154+42+19+7+13+19+10</f>
        <v>390</v>
      </c>
    </row>
    <row r="155" spans="1:8" x14ac:dyDescent="0.35">
      <c r="A155" t="s">
        <v>153</v>
      </c>
      <c r="B155">
        <f>644+290+183+124+6+11+1+46+154+42+19+7+13+26</f>
        <v>1566</v>
      </c>
      <c r="H155">
        <f>62+6+11+1+46+154+42+19+7+13+26</f>
        <v>387</v>
      </c>
    </row>
    <row r="156" spans="1:8" x14ac:dyDescent="0.35">
      <c r="A156" t="s">
        <v>154</v>
      </c>
      <c r="B156">
        <f>644+290+183+124+6+11+1+46+154+42+19+7+15+1+2+3+2+1+2+10</f>
        <v>1563</v>
      </c>
      <c r="H156">
        <f>62+6+11+1+46+154+42+19+7+15+1+2+3+2+1+2+10</f>
        <v>384</v>
      </c>
    </row>
    <row r="157" spans="1:8" x14ac:dyDescent="0.35">
      <c r="A157" t="s">
        <v>155</v>
      </c>
      <c r="B157">
        <f>644+290+183+124+6+11+1+46+154+42+19+7+15+1+2+3+2+1+2+11</f>
        <v>1564</v>
      </c>
      <c r="H157">
        <f>62+6+11+1+46+154+42+19+7+15+1+2+3+2+1+2+11</f>
        <v>385</v>
      </c>
    </row>
    <row r="158" spans="1:8" x14ac:dyDescent="0.35">
      <c r="A158" t="s">
        <v>156</v>
      </c>
      <c r="B158">
        <f>644+290+183+124+6+11+1+46+154+42+19+7+15+1+2+3+2+1+22</f>
        <v>1573</v>
      </c>
      <c r="H158">
        <f>62+6+11+1+46+154+42+19+7+15+1+2+3+2+1+22</f>
        <v>394</v>
      </c>
    </row>
    <row r="159" spans="1:8" x14ac:dyDescent="0.35">
      <c r="A159" t="s">
        <v>157</v>
      </c>
      <c r="B159">
        <f>644+290+183+124+6+11+1+46+154+42+19+7+15+1+2+3+2+18</f>
        <v>1568</v>
      </c>
      <c r="H159">
        <f>62+6+11+1+46+154+42+19+7+15+1+2+3+2+18</f>
        <v>389</v>
      </c>
    </row>
    <row r="160" spans="1:8" x14ac:dyDescent="0.35">
      <c r="A160" t="s">
        <v>158</v>
      </c>
      <c r="B160">
        <f>644+290+183+124+6+11+1+46+154+42+19+7+15+1+2+3+15</f>
        <v>1563</v>
      </c>
      <c r="H160">
        <f>62+6+11+1+46+154+42+19+7+15+1+2+3+15</f>
        <v>384</v>
      </c>
    </row>
    <row r="161" spans="1:8" x14ac:dyDescent="0.35">
      <c r="A161" t="s">
        <v>159</v>
      </c>
      <c r="B161">
        <f>644+290+183+124+6+11+1+46+154+42+19+7+15+1+2+17+1+21</f>
        <v>1584</v>
      </c>
      <c r="H161">
        <f>62+6+11+1+46+154+42+19+7+15+1+2+17+1+21</f>
        <v>405</v>
      </c>
    </row>
    <row r="162" spans="1:8" x14ac:dyDescent="0.35">
      <c r="A162" t="s">
        <v>160</v>
      </c>
      <c r="B162">
        <f>644+290+183+124+6+11+1+46+154+42+19+7+15+1+2+17+1+21</f>
        <v>1584</v>
      </c>
      <c r="H162">
        <f>62+6+11+1+46+154+42+19+7+15+1+2+17+1+21</f>
        <v>405</v>
      </c>
    </row>
    <row r="163" spans="1:8" x14ac:dyDescent="0.35">
      <c r="A163" t="s">
        <v>161</v>
      </c>
      <c r="B163">
        <f>644+290+183+124+6+11+1+46+154+42+19+7+15+1+2+17+4+10</f>
        <v>1576</v>
      </c>
      <c r="H163">
        <f>62+6+11+1+46+154+42+19+7+15+1+2+17+4+10</f>
        <v>397</v>
      </c>
    </row>
    <row r="164" spans="1:8" x14ac:dyDescent="0.35">
      <c r="A164" t="s">
        <v>162</v>
      </c>
      <c r="B164">
        <f>644+290+183+124+6+11+1+46+154+42+19+7+15+1+2+17+4+8</f>
        <v>1574</v>
      </c>
      <c r="H164">
        <f>62+6+11+1+46+154+42+19+7+15+1+2+17+4+8</f>
        <v>395</v>
      </c>
    </row>
    <row r="165" spans="1:8" x14ac:dyDescent="0.35">
      <c r="A165" t="s">
        <v>163</v>
      </c>
      <c r="B165">
        <f>644+290+183+124+6+11+1+46+154+42+19+7+15+1+31</f>
        <v>1574</v>
      </c>
      <c r="H165">
        <f>62+6+11+1+46+154+42+19+7+15+1+31</f>
        <v>395</v>
      </c>
    </row>
    <row r="166" spans="1:8" x14ac:dyDescent="0.35">
      <c r="A166" t="s">
        <v>164</v>
      </c>
      <c r="B166">
        <f>644+290+183+124+6+11+1+46+154+42+19+7+15+5+3+9+8+1</f>
        <v>1568</v>
      </c>
      <c r="H166">
        <f>62+6+11+1+46+154+42+19+7+15+5+3+9+8+1</f>
        <v>389</v>
      </c>
    </row>
    <row r="167" spans="1:8" x14ac:dyDescent="0.35">
      <c r="A167" t="s">
        <v>165</v>
      </c>
      <c r="B167">
        <f>644+290+183+124+6+11+1+46+154+42+19+7+15+5+3+9+8</f>
        <v>1567</v>
      </c>
      <c r="H167">
        <f>62+6+11+1+46+154+42+19+7+15+5+3+9+8</f>
        <v>388</v>
      </c>
    </row>
    <row r="168" spans="1:8" x14ac:dyDescent="0.35">
      <c r="A168" t="s">
        <v>166</v>
      </c>
      <c r="B168">
        <f>644+290+183+124+6+11+1+46+154+42+19+7+15+5+3+9+12</f>
        <v>1571</v>
      </c>
      <c r="H168">
        <f>62+6+11+1+46+154+42+19+7+15+5+3+9+12</f>
        <v>392</v>
      </c>
    </row>
    <row r="169" spans="1:8" x14ac:dyDescent="0.35">
      <c r="A169" t="s">
        <v>167</v>
      </c>
      <c r="B169">
        <f>644+290+183+124+6+11+1+46+154+42+19+7+15+5+3+18</f>
        <v>1568</v>
      </c>
      <c r="H169">
        <f>62+6+11+1+46+154+42+19+7+15+5+3+18</f>
        <v>389</v>
      </c>
    </row>
    <row r="170" spans="1:8" x14ac:dyDescent="0.35">
      <c r="A170" t="s">
        <v>168</v>
      </c>
      <c r="B170">
        <f>644+290+183+124+6+11+1+46+154+42+19+7+15+5+34</f>
        <v>1581</v>
      </c>
      <c r="H170">
        <f>62+6+11+1+46+154+42+19+7+15+5+34</f>
        <v>402</v>
      </c>
    </row>
    <row r="171" spans="1:8" x14ac:dyDescent="0.35">
      <c r="A171" t="s">
        <v>169</v>
      </c>
      <c r="B171">
        <f>644+290+183+124+6+11+1+46+154+42+19+7+15+2+17+3+1+10+5</f>
        <v>1580</v>
      </c>
      <c r="H171">
        <f>62+6+11+1+46+154+42+19+7+15+2+17+3+1+10+5</f>
        <v>401</v>
      </c>
    </row>
    <row r="172" spans="1:8" x14ac:dyDescent="0.35">
      <c r="A172" t="s">
        <v>170</v>
      </c>
      <c r="B172">
        <f>644+290+183+124+6+11+1+46+154+42+19+7+15+2+17+3+1+10+4</f>
        <v>1579</v>
      </c>
      <c r="H172">
        <f>62+6+11+1+46+154+42+19+7+15+2+17+3+1+10+4</f>
        <v>400</v>
      </c>
    </row>
    <row r="173" spans="1:8" x14ac:dyDescent="0.35">
      <c r="A173" t="s">
        <v>171</v>
      </c>
      <c r="B173">
        <f>644+290+183+124+6+11+1+46+154+42+19+7+15+2+17+3+1+9</f>
        <v>1574</v>
      </c>
      <c r="H173">
        <f>62+6+11+1+46+154+42+19+7+15+2+17+3+1+9</f>
        <v>395</v>
      </c>
    </row>
    <row r="174" spans="1:8" x14ac:dyDescent="0.35">
      <c r="A174" t="s">
        <v>172</v>
      </c>
      <c r="B174">
        <f>644+290+183+124+6+11+1+46+154+42+19+7+15+2+17+3+1+17</f>
        <v>1582</v>
      </c>
      <c r="H174">
        <f>62+6+11+1+46+154+42+19+7+15+2+17+3+1+17</f>
        <v>403</v>
      </c>
    </row>
    <row r="175" spans="1:8" x14ac:dyDescent="0.35">
      <c r="A175" t="s">
        <v>173</v>
      </c>
      <c r="B175">
        <f>644+290+183+124+6+11+1+46+154+42+19+7+15+2+17+3+1+17</f>
        <v>1582</v>
      </c>
      <c r="H175">
        <f>62+6+11+1+46+154+42+19+7+15+2+17+3+1+17</f>
        <v>403</v>
      </c>
    </row>
    <row r="176" spans="1:8" x14ac:dyDescent="0.35">
      <c r="A176" t="s">
        <v>174</v>
      </c>
      <c r="B176">
        <f>644+290+183+124+6+11+1+46+154+42+19+7+15+2+17+18</f>
        <v>1579</v>
      </c>
      <c r="H176">
        <f>62+6+11+1+46+154+42+19+7+15+2+17+18</f>
        <v>400</v>
      </c>
    </row>
    <row r="177" spans="1:8" x14ac:dyDescent="0.35">
      <c r="A177" t="s">
        <v>175</v>
      </c>
      <c r="B177">
        <f>644+290+183+124+6+11+1+46+154+42+19+7+15+2+15+17+3</f>
        <v>1579</v>
      </c>
      <c r="H177">
        <f>62+6+11+1+46+154+42+19+7+15+2+15+17+3</f>
        <v>400</v>
      </c>
    </row>
    <row r="178" spans="1:8" x14ac:dyDescent="0.35">
      <c r="A178" t="s">
        <v>176</v>
      </c>
      <c r="B178">
        <f>644+290+183+124+6+11+1+46+154+42+19+7+15+2+15+17+2</f>
        <v>1578</v>
      </c>
      <c r="H178">
        <f>62+6+11+1+46+154+42+19+7+15+2+15+17+2</f>
        <v>399</v>
      </c>
    </row>
    <row r="179" spans="1:8" x14ac:dyDescent="0.35">
      <c r="A179" t="s">
        <v>177</v>
      </c>
      <c r="B179">
        <f>644+290+183+124+6+11+1+46+154+42+19+7+15+2+15+9+5</f>
        <v>1573</v>
      </c>
      <c r="H179">
        <f>62+6+11+1+46+154+42+19+7+15+2+15+9+5</f>
        <v>394</v>
      </c>
    </row>
    <row r="180" spans="1:8" x14ac:dyDescent="0.35">
      <c r="A180" t="s">
        <v>178</v>
      </c>
      <c r="B180">
        <f>644+290+183+124+6+11+1+46+154+42+19+7+15+2+15+9+2+5</f>
        <v>1575</v>
      </c>
      <c r="H180">
        <f>62+6+11+1+46+154+42+19+7+15+2+15+9+2+5</f>
        <v>396</v>
      </c>
    </row>
    <row r="181" spans="1:8" x14ac:dyDescent="0.35">
      <c r="A181" t="s">
        <v>179</v>
      </c>
      <c r="B181">
        <f>644+290+183+124+6+11+1+46+154+42+19+7+15+2+15+9+2+1+4</f>
        <v>1575</v>
      </c>
      <c r="H181">
        <f>62+6+11+1+46+154+42+19+7+15+2+15+9+2+1+4</f>
        <v>396</v>
      </c>
    </row>
    <row r="182" spans="1:8" x14ac:dyDescent="0.35">
      <c r="A182" t="s">
        <v>180</v>
      </c>
      <c r="B182">
        <f>644+290+183+124+6+11+1+46+154+42+19+7+15+2+15+9+2+1+2</f>
        <v>1573</v>
      </c>
      <c r="H182">
        <f>62+6+11+1+46+154+42+19+7+15+2+15+9+2+1+2</f>
        <v>394</v>
      </c>
    </row>
    <row r="183" spans="1:8" x14ac:dyDescent="0.35">
      <c r="A183" t="s">
        <v>181</v>
      </c>
      <c r="B183">
        <f>644+290+183+124+6+11+22+257+52</f>
        <v>1589</v>
      </c>
      <c r="H183">
        <f>62+6+11+22+257+52</f>
        <v>410</v>
      </c>
    </row>
    <row r="184" spans="1:8" x14ac:dyDescent="0.35">
      <c r="A184" t="s">
        <v>182</v>
      </c>
      <c r="B184">
        <f>644+290+183+124+6+11+22+257+57</f>
        <v>1594</v>
      </c>
      <c r="H184">
        <f>62+6+11+22+257+57</f>
        <v>415</v>
      </c>
    </row>
    <row r="185" spans="1:8" x14ac:dyDescent="0.35">
      <c r="A185" t="s">
        <v>183</v>
      </c>
      <c r="B185">
        <f>644+290+183+124+6+11+22+275+32</f>
        <v>1587</v>
      </c>
      <c r="H185">
        <f>62+6+11+22+275+32</f>
        <v>408</v>
      </c>
    </row>
    <row r="186" spans="1:8" x14ac:dyDescent="0.35">
      <c r="A186" t="s">
        <v>184</v>
      </c>
      <c r="B186">
        <f>644+290+183+124+6+11+22+275+25</f>
        <v>1580</v>
      </c>
      <c r="H186">
        <f>62+6+11+22+275+25</f>
        <v>401</v>
      </c>
    </row>
    <row r="187" spans="1:8" x14ac:dyDescent="0.35">
      <c r="A187" t="s">
        <v>185</v>
      </c>
      <c r="B187">
        <f>644+290+183+124+6+38+109+32+143+1+1+11+7</f>
        <v>1589</v>
      </c>
      <c r="H187">
        <f>62+6+38+109+32+143+1+1+11+7</f>
        <v>410</v>
      </c>
    </row>
    <row r="188" spans="1:8" x14ac:dyDescent="0.35">
      <c r="A188" t="s">
        <v>186</v>
      </c>
      <c r="B188">
        <f>644+290+183+124+6+38+109+32+143+1+1+11+4</f>
        <v>1586</v>
      </c>
      <c r="H188">
        <f>62+6+38+109+32+143+1+1+11+4</f>
        <v>407</v>
      </c>
    </row>
    <row r="189" spans="1:8" x14ac:dyDescent="0.35">
      <c r="A189" t="s">
        <v>187</v>
      </c>
      <c r="B189">
        <f>644+290+183+124+6+38+109+32+143+1+1+17</f>
        <v>1588</v>
      </c>
      <c r="H189">
        <f>62+6+38+109+32+143+1+1+17</f>
        <v>409</v>
      </c>
    </row>
    <row r="190" spans="1:8" x14ac:dyDescent="0.35">
      <c r="A190" t="s">
        <v>188</v>
      </c>
      <c r="B190">
        <f>644+290+183+124+6+38+109+32+143+1+15</f>
        <v>1585</v>
      </c>
      <c r="H190">
        <f>62+6+38+109+32+143+1+15</f>
        <v>406</v>
      </c>
    </row>
    <row r="191" spans="1:8" x14ac:dyDescent="0.35">
      <c r="A191" t="s">
        <v>189</v>
      </c>
      <c r="B191">
        <f>644+290+183+124+6+38+109+32+143+1+7+7</f>
        <v>1584</v>
      </c>
      <c r="H191">
        <f>62+6+38+109+32+143+1+7+7</f>
        <v>405</v>
      </c>
    </row>
    <row r="192" spans="1:8" x14ac:dyDescent="0.35">
      <c r="A192" t="s">
        <v>190</v>
      </c>
      <c r="B192">
        <f>644+290+183+124+6+38+109+32+143+1+7+10</f>
        <v>1587</v>
      </c>
      <c r="H192">
        <f>62+6+38+109+32+143+1+7+10</f>
        <v>408</v>
      </c>
    </row>
    <row r="193" spans="1:8" x14ac:dyDescent="0.35">
      <c r="A193" t="s">
        <v>191</v>
      </c>
      <c r="B193">
        <f>644+290+183+124+6+38+109+32+143+11</f>
        <v>1580</v>
      </c>
      <c r="H193">
        <f>62+6+38+109+32+143+11</f>
        <v>401</v>
      </c>
    </row>
    <row r="194" spans="1:8" x14ac:dyDescent="0.35">
      <c r="A194" t="s">
        <v>192</v>
      </c>
      <c r="B194">
        <f>644+290+183+124+6+38+109+32+171</f>
        <v>1597</v>
      </c>
      <c r="H194">
        <f>62+6+38+109+32+171</f>
        <v>418</v>
      </c>
    </row>
    <row r="195" spans="1:8" x14ac:dyDescent="0.35">
      <c r="A195" t="s">
        <v>193</v>
      </c>
      <c r="B195">
        <f>644+290+183+124+6+38+109+172+14+23</f>
        <v>1603</v>
      </c>
      <c r="H195">
        <f>62+6+38+109+172+14+23</f>
        <v>424</v>
      </c>
    </row>
    <row r="196" spans="1:8" x14ac:dyDescent="0.35">
      <c r="A196" t="s">
        <v>194</v>
      </c>
      <c r="B196">
        <f>644+290+183+124+6+38+109+172+14+19</f>
        <v>1599</v>
      </c>
      <c r="H196">
        <f>62+6+38+109+172+14+19</f>
        <v>420</v>
      </c>
    </row>
    <row r="197" spans="1:8" x14ac:dyDescent="0.35">
      <c r="A197" t="s">
        <v>195</v>
      </c>
      <c r="B197">
        <f>644+290+183+124+6+38+109+172+1+31</f>
        <v>1598</v>
      </c>
      <c r="H197">
        <f>62+6+38+109+172+1+31</f>
        <v>419</v>
      </c>
    </row>
    <row r="198" spans="1:8" x14ac:dyDescent="0.35">
      <c r="A198" t="s">
        <v>196</v>
      </c>
      <c r="B198">
        <f>644+290+183+124+6+38+109+172+1+37</f>
        <v>1604</v>
      </c>
      <c r="H198">
        <f>62+6+38+109+172+1+37</f>
        <v>425</v>
      </c>
    </row>
    <row r="199" spans="1:8" x14ac:dyDescent="0.35">
      <c r="A199" t="s">
        <v>197</v>
      </c>
      <c r="B199">
        <f>644+290+183+124+6+38+85+19+69+16+1+61+7+57</f>
        <v>1600</v>
      </c>
      <c r="H199">
        <f>62+6+38+85+19+69+16+1+61+7+57</f>
        <v>421</v>
      </c>
    </row>
    <row r="200" spans="1:8" x14ac:dyDescent="0.35">
      <c r="A200" t="s">
        <v>198</v>
      </c>
      <c r="B200">
        <f>644+290+183+124+6+38+85+19+69+16+1+61+7+70</f>
        <v>1613</v>
      </c>
      <c r="H200">
        <f>62+6+38+85+19+69+16+1+61+7+70</f>
        <v>434</v>
      </c>
    </row>
    <row r="201" spans="1:8" x14ac:dyDescent="0.35">
      <c r="A201" t="s">
        <v>199</v>
      </c>
      <c r="B201">
        <f>644+290+183+124+6+38+85+19+69+16+1+61+71</f>
        <v>1607</v>
      </c>
      <c r="H201">
        <f>62+6+38+85+19+69+16+1+61+71</f>
        <v>428</v>
      </c>
    </row>
    <row r="202" spans="1:8" x14ac:dyDescent="0.35">
      <c r="A202" t="s">
        <v>200</v>
      </c>
      <c r="B202">
        <f>644+290+183+124+6+38+85+19+69+16+1+114</f>
        <v>1589</v>
      </c>
      <c r="H202">
        <f>62+6+38+85+19+69+16+1+114</f>
        <v>410</v>
      </c>
    </row>
    <row r="203" spans="1:8" x14ac:dyDescent="0.35">
      <c r="A203" t="s">
        <v>201</v>
      </c>
      <c r="B203">
        <f>644+290+183+124+6+38+85+19+69+16+12+105</f>
        <v>1591</v>
      </c>
      <c r="H203">
        <f>62+6+38+85+19+69+16+12+105</f>
        <v>412</v>
      </c>
    </row>
    <row r="204" spans="1:8" x14ac:dyDescent="0.35">
      <c r="A204" t="s">
        <v>202</v>
      </c>
      <c r="B204">
        <f>644+290+183+124+6+38+85+19+69+16+12+13+98</f>
        <v>1597</v>
      </c>
      <c r="H204">
        <f>62+6+38+85+19+69+16+12+13+98</f>
        <v>418</v>
      </c>
    </row>
    <row r="205" spans="1:8" x14ac:dyDescent="0.35">
      <c r="A205" t="s">
        <v>203</v>
      </c>
      <c r="B205">
        <f>644+290+183+124+6+38+85+19+69+16+12+13+90</f>
        <v>1589</v>
      </c>
      <c r="H205">
        <f>62+6+38+85+19+69+16+12+13+90</f>
        <v>410</v>
      </c>
    </row>
    <row r="206" spans="1:8" x14ac:dyDescent="0.35">
      <c r="A206" t="s">
        <v>204</v>
      </c>
      <c r="B206">
        <f>644+290+183+124+6+38+85+19+69+119</f>
        <v>1577</v>
      </c>
      <c r="H206">
        <f>62+6+38+85+19+69+119</f>
        <v>398</v>
      </c>
    </row>
    <row r="207" spans="1:8" x14ac:dyDescent="0.35">
      <c r="A207" t="s">
        <v>205</v>
      </c>
      <c r="B207">
        <f>644+290+183+124+6+38+85+19+95+75+30</f>
        <v>1589</v>
      </c>
      <c r="H207">
        <f>62+6+38+85+19+95+75+30</f>
        <v>410</v>
      </c>
    </row>
    <row r="208" spans="1:8" x14ac:dyDescent="0.35">
      <c r="A208" t="s">
        <v>206</v>
      </c>
      <c r="B208">
        <f>644+290+183+124+6+38+85+19+95+75+40</f>
        <v>1599</v>
      </c>
      <c r="H208">
        <f>62+6+38+85+19+95+75+40</f>
        <v>420</v>
      </c>
    </row>
    <row r="209" spans="1:8" x14ac:dyDescent="0.35">
      <c r="A209" t="s">
        <v>207</v>
      </c>
      <c r="B209">
        <f>644+290+183+124+6+38+85+19+95+88+35</f>
        <v>1607</v>
      </c>
      <c r="H209">
        <f>62+6+38+85+19+95+88+35</f>
        <v>428</v>
      </c>
    </row>
    <row r="210" spans="1:8" x14ac:dyDescent="0.35">
      <c r="A210" t="s">
        <v>208</v>
      </c>
      <c r="B210">
        <f>644+290+183+124+6+38+85+19+95+88+4+37</f>
        <v>1613</v>
      </c>
      <c r="H210">
        <f>62+6+38+85+19+95+88+4+37</f>
        <v>434</v>
      </c>
    </row>
    <row r="211" spans="1:8" x14ac:dyDescent="0.35">
      <c r="A211" t="s">
        <v>209</v>
      </c>
      <c r="B211">
        <f>644+290+183+124+6+38+85+19+95+88+4+33</f>
        <v>1609</v>
      </c>
      <c r="H211">
        <f>62+6+38+85+19+95+88+4+33</f>
        <v>430</v>
      </c>
    </row>
    <row r="212" spans="1:8" x14ac:dyDescent="0.35">
      <c r="A212" t="s">
        <v>210</v>
      </c>
      <c r="B212">
        <f>644+290+183+124+6+38+85+118+1+105+4+2+40</f>
        <v>1640</v>
      </c>
      <c r="H212">
        <f>62+6+38+85+118+1+105+4+2+40</f>
        <v>461</v>
      </c>
    </row>
    <row r="213" spans="1:8" x14ac:dyDescent="0.35">
      <c r="A213" t="s">
        <v>211</v>
      </c>
      <c r="B213">
        <f>644+290+183+124+6+38+85+118+1+105+4+2+52</f>
        <v>1652</v>
      </c>
      <c r="H213">
        <f>62+6+38+85+118+1+105+4+2+52</f>
        <v>473</v>
      </c>
    </row>
    <row r="214" spans="1:8" x14ac:dyDescent="0.35">
      <c r="A214" t="s">
        <v>212</v>
      </c>
      <c r="B214">
        <f>644+290+183+124+6+38+85+118+1+105+4+38</f>
        <v>1636</v>
      </c>
      <c r="H214">
        <f>62+6+38+85+118+1+105+4+38</f>
        <v>457</v>
      </c>
    </row>
    <row r="215" spans="1:8" x14ac:dyDescent="0.35">
      <c r="A215" t="s">
        <v>213</v>
      </c>
      <c r="B215">
        <f>644+290+183+124+6+38+85+118+1+105+40</f>
        <v>1634</v>
      </c>
      <c r="H215">
        <f>62+6+38+85+118+1+105+40</f>
        <v>455</v>
      </c>
    </row>
    <row r="216" spans="1:8" x14ac:dyDescent="0.35">
      <c r="A216" t="s">
        <v>214</v>
      </c>
      <c r="B216">
        <f>644+290+183+124+6+38+85+118+1+124</f>
        <v>1613</v>
      </c>
      <c r="H216">
        <f>62+6+38+85+118+1+124</f>
        <v>434</v>
      </c>
    </row>
    <row r="217" spans="1:8" x14ac:dyDescent="0.35">
      <c r="A217" t="s">
        <v>215</v>
      </c>
      <c r="B217">
        <f>644+290+183+124+6+38+85+118+80+61</f>
        <v>1629</v>
      </c>
      <c r="H217">
        <f>62+6+38+85+118+80+61</f>
        <v>450</v>
      </c>
    </row>
    <row r="218" spans="1:8" x14ac:dyDescent="0.35">
      <c r="A218" t="s">
        <v>216</v>
      </c>
      <c r="B218">
        <f>644+290+183+124+6+38+85+118+80+8+3+27</f>
        <v>1606</v>
      </c>
      <c r="H218">
        <f>62+6+38+85+118+80+8+3+27</f>
        <v>427</v>
      </c>
    </row>
    <row r="219" spans="1:8" x14ac:dyDescent="0.35">
      <c r="A219" t="s">
        <v>217</v>
      </c>
      <c r="B219">
        <f>644+290+183+124+6+38+85+118+80+8+3+34</f>
        <v>1613</v>
      </c>
      <c r="H219">
        <f>62+6+38+85+118+80+8+3+34</f>
        <v>434</v>
      </c>
    </row>
    <row r="220" spans="1:8" x14ac:dyDescent="0.35">
      <c r="A220" t="s">
        <v>218</v>
      </c>
      <c r="B220">
        <f>644+290+183+124+6+38+85+118+80+8+6+48</f>
        <v>1630</v>
      </c>
      <c r="H220">
        <f>62+6+38+85+118+80+8+6+48</f>
        <v>451</v>
      </c>
    </row>
    <row r="221" spans="1:8" x14ac:dyDescent="0.35">
      <c r="A221" t="s">
        <v>219</v>
      </c>
      <c r="B221">
        <f>644+290+183+124+6+38+85+118+80+8+6+2+1+4+27</f>
        <v>1616</v>
      </c>
      <c r="H221">
        <f>62+6+38+85+118+80+8+6+2+1+4+27</f>
        <v>437</v>
      </c>
    </row>
    <row r="222" spans="1:8" x14ac:dyDescent="0.35">
      <c r="A222" t="s">
        <v>220</v>
      </c>
      <c r="B222">
        <f>644+290+183+124+6+38+85+118+80+8+6+2+1+4+26</f>
        <v>1615</v>
      </c>
      <c r="H222">
        <f>62+6+38+85+118+80+8+6+2+1+4+26</f>
        <v>436</v>
      </c>
    </row>
    <row r="223" spans="1:8" x14ac:dyDescent="0.35">
      <c r="A223" t="s">
        <v>221</v>
      </c>
      <c r="B223">
        <f>644+290+183+124+6+38+85+118+80+8+6+2+1+35</f>
        <v>1620</v>
      </c>
      <c r="H223">
        <f>62+6+38+85+118+80+8+6+2+1+35</f>
        <v>441</v>
      </c>
    </row>
    <row r="224" spans="1:8" x14ac:dyDescent="0.35">
      <c r="A224" t="s">
        <v>222</v>
      </c>
      <c r="B224">
        <f>644+290+183+124+6+38+85+118+80+8+6+2+2+35</f>
        <v>1621</v>
      </c>
      <c r="H224">
        <f>62+6+38+85+118+80+8+6+2+2+35</f>
        <v>442</v>
      </c>
    </row>
    <row r="225" spans="1:8" x14ac:dyDescent="0.35">
      <c r="A225" t="s">
        <v>223</v>
      </c>
      <c r="B225">
        <f>644+290+183+124+6+38+85+118+80+8+6+2+2+2+6+21</f>
        <v>1615</v>
      </c>
      <c r="H225">
        <f>62+6+38+85+118+80+8+6+2+2+2+6+21</f>
        <v>436</v>
      </c>
    </row>
    <row r="226" spans="1:8" x14ac:dyDescent="0.35">
      <c r="A226" t="s">
        <v>224</v>
      </c>
      <c r="B226">
        <f>644+290+183+124+6+38+85+118+80+8+6+2+2+2+6+26</f>
        <v>1620</v>
      </c>
      <c r="H226">
        <f>62+6+38+85+118+80+8+6+2+2+2+6+26</f>
        <v>441</v>
      </c>
    </row>
    <row r="227" spans="1:8" x14ac:dyDescent="0.35">
      <c r="A227" t="s">
        <v>225</v>
      </c>
      <c r="B227">
        <f>644+290+183+124+6+38+85+118+80+8+6+2+2+2+35+1</f>
        <v>1624</v>
      </c>
      <c r="H227">
        <f>62+6+38+85+118+80+8+6+2+2+2+35+1</f>
        <v>445</v>
      </c>
    </row>
    <row r="228" spans="1:8" x14ac:dyDescent="0.35">
      <c r="A228" t="s">
        <v>226</v>
      </c>
      <c r="B228">
        <f>644+290+183+124+6+38+85+118+80+8+6+2+2+2+35+7</f>
        <v>1630</v>
      </c>
      <c r="H228">
        <f>62+6+38+85+118+80+8+6+2+2+2+35+7</f>
        <v>451</v>
      </c>
    </row>
    <row r="229" spans="1:8" x14ac:dyDescent="0.35">
      <c r="A229" t="s">
        <v>227</v>
      </c>
      <c r="B229">
        <f>644+290+183+124+2+215+100+10+13+25+6</f>
        <v>1612</v>
      </c>
      <c r="H229">
        <f>62+2+215+100+10+13+25+6</f>
        <v>433</v>
      </c>
    </row>
    <row r="230" spans="1:8" x14ac:dyDescent="0.35">
      <c r="A230" t="s">
        <v>228</v>
      </c>
      <c r="B230">
        <f>644+290+183+124+2+215+100+10+13+25+6</f>
        <v>1612</v>
      </c>
      <c r="H230">
        <f>62+2+215+100+10+13+25+6</f>
        <v>433</v>
      </c>
    </row>
    <row r="231" spans="1:8" x14ac:dyDescent="0.35">
      <c r="A231" t="s">
        <v>229</v>
      </c>
      <c r="B231">
        <f>644+290+183+124+2+215+100+10+13+21</f>
        <v>1602</v>
      </c>
      <c r="H231">
        <f>62+2+215+100+10+13+21</f>
        <v>423</v>
      </c>
    </row>
    <row r="232" spans="1:8" x14ac:dyDescent="0.35">
      <c r="A232" t="s">
        <v>230</v>
      </c>
      <c r="B232">
        <f>644+290+183+124+2+215+100+10+27</f>
        <v>1595</v>
      </c>
      <c r="H232">
        <f>62+2+215+100+10+27</f>
        <v>416</v>
      </c>
    </row>
    <row r="233" spans="1:8" x14ac:dyDescent="0.35">
      <c r="A233" t="s">
        <v>231</v>
      </c>
      <c r="B233">
        <f>644+290+183+124+2+215+100+44</f>
        <v>1602</v>
      </c>
      <c r="H233">
        <f>62+2+215+100+44</f>
        <v>423</v>
      </c>
    </row>
    <row r="234" spans="1:8" x14ac:dyDescent="0.35">
      <c r="A234" t="s">
        <v>232</v>
      </c>
      <c r="B234">
        <f>644+290+183+124+2+215+1+48+88</f>
        <v>1595</v>
      </c>
      <c r="H234">
        <f>62+2+215+1+48+88</f>
        <v>416</v>
      </c>
    </row>
    <row r="235" spans="1:8" x14ac:dyDescent="0.35">
      <c r="A235" t="s">
        <v>233</v>
      </c>
      <c r="B235">
        <f>644+290+183+124+2+215+1+48+96</f>
        <v>1603</v>
      </c>
      <c r="H235">
        <f>62+2+215+1+48+96</f>
        <v>424</v>
      </c>
    </row>
    <row r="236" spans="1:8" x14ac:dyDescent="0.35">
      <c r="A236" t="s">
        <v>234</v>
      </c>
      <c r="B236">
        <f>644+290+183+124+2+215+1+30+94</f>
        <v>1583</v>
      </c>
      <c r="H236">
        <f>62+2+215+1+30+94</f>
        <v>404</v>
      </c>
    </row>
    <row r="237" spans="1:8" x14ac:dyDescent="0.35">
      <c r="A237" t="s">
        <v>235</v>
      </c>
      <c r="B237">
        <f>644+290+183+124+2+215+1+30+103</f>
        <v>1592</v>
      </c>
      <c r="H237">
        <f>62+2+215+1+30+103</f>
        <v>413</v>
      </c>
    </row>
    <row r="238" spans="1:8" x14ac:dyDescent="0.35">
      <c r="A238" t="s">
        <v>236</v>
      </c>
      <c r="B238">
        <f>644+290+183+124+2+16+316</f>
        <v>1575</v>
      </c>
      <c r="H238">
        <f>62+2+16+316</f>
        <v>396</v>
      </c>
    </row>
    <row r="239" spans="1:8" x14ac:dyDescent="0.35">
      <c r="A239" t="s">
        <v>237</v>
      </c>
      <c r="B239">
        <f>644+290+183+124+2+16+35+310</f>
        <v>1604</v>
      </c>
      <c r="H239">
        <f>62+2+16+35+310</f>
        <v>425</v>
      </c>
    </row>
    <row r="240" spans="1:8" x14ac:dyDescent="0.35">
      <c r="A240" t="s">
        <v>238</v>
      </c>
      <c r="B240">
        <f>644+290+183+124+2+16+35+21+66+15+199</f>
        <v>1595</v>
      </c>
      <c r="H240">
        <f>62+2+16+35+21+66+15+199</f>
        <v>416</v>
      </c>
    </row>
    <row r="241" spans="1:8" x14ac:dyDescent="0.35">
      <c r="A241" t="s">
        <v>239</v>
      </c>
      <c r="B241">
        <f>644+290+183+124+2+16+35+21+66+15+221</f>
        <v>1617</v>
      </c>
      <c r="H241">
        <f>62+2+16+35+21+66+15+221</f>
        <v>438</v>
      </c>
    </row>
    <row r="242" spans="1:8" x14ac:dyDescent="0.35">
      <c r="A242" t="s">
        <v>240</v>
      </c>
      <c r="B242">
        <f>644+290+183+124+2+16+35+21+66+237</f>
        <v>1618</v>
      </c>
      <c r="H242">
        <f>62+2+16+35+21+66+237</f>
        <v>439</v>
      </c>
    </row>
    <row r="243" spans="1:8" x14ac:dyDescent="0.35">
      <c r="A243" t="s">
        <v>241</v>
      </c>
      <c r="B243">
        <f>644+290+183+124+2+16+35+21+161+130</f>
        <v>1606</v>
      </c>
      <c r="H243">
        <f>62+2+16+35+21+161+130</f>
        <v>427</v>
      </c>
    </row>
    <row r="244" spans="1:8" x14ac:dyDescent="0.35">
      <c r="A244" t="s">
        <v>242</v>
      </c>
      <c r="B244">
        <f>644+290+183+124+2+16+35+21+161+67+13+38</f>
        <v>1594</v>
      </c>
      <c r="H244">
        <f>62+2+16+35+21+161+67+13+38</f>
        <v>415</v>
      </c>
    </row>
    <row r="245" spans="1:8" x14ac:dyDescent="0.35">
      <c r="A245" t="s">
        <v>243</v>
      </c>
      <c r="B245">
        <f>644+290+183+124+2+16+35+21+161+67+13+41</f>
        <v>1597</v>
      </c>
      <c r="H245">
        <f>62+2+16+35+21+161+67+13+41</f>
        <v>418</v>
      </c>
    </row>
    <row r="246" spans="1:8" x14ac:dyDescent="0.35">
      <c r="A246" t="s">
        <v>244</v>
      </c>
      <c r="B246">
        <f>644+290+183+124+2+16+35+21+161+67+5+54</f>
        <v>1602</v>
      </c>
      <c r="H246">
        <f>62+2+16+35+21+161+67+5+54</f>
        <v>423</v>
      </c>
    </row>
    <row r="247" spans="1:8" x14ac:dyDescent="0.35">
      <c r="A247" s="3" t="s">
        <v>245</v>
      </c>
      <c r="B247">
        <f>644+290+183+124+2+16+35+21+161+67+5+35</f>
        <v>1583</v>
      </c>
      <c r="H247">
        <f>62+2+16+35+21+161+67+5+35</f>
        <v>404</v>
      </c>
    </row>
    <row r="248" spans="1:8" x14ac:dyDescent="0.35">
      <c r="A248" s="1" t="s">
        <v>246</v>
      </c>
      <c r="B248">
        <f>644+290+183+3+25+169+146+91+64+6+23</f>
        <v>1644</v>
      </c>
      <c r="H248">
        <f>62+3+25+169+146+91+64+6+23</f>
        <v>589</v>
      </c>
    </row>
    <row r="249" spans="1:8" x14ac:dyDescent="0.35">
      <c r="A249" t="s">
        <v>247</v>
      </c>
      <c r="B249">
        <f>644+290+183+3+25+169+146+91+64+6+23</f>
        <v>1644</v>
      </c>
      <c r="H249">
        <f>62+3+25+169+146+91+64+6+23</f>
        <v>589</v>
      </c>
    </row>
    <row r="250" spans="1:8" x14ac:dyDescent="0.35">
      <c r="A250" t="s">
        <v>248</v>
      </c>
      <c r="B250">
        <f>644+290+183+3+25+169+146+91+64+34</f>
        <v>1649</v>
      </c>
      <c r="H250">
        <f>62+3+25+169+146+91+64+34</f>
        <v>594</v>
      </c>
    </row>
    <row r="251" spans="1:8" x14ac:dyDescent="0.35">
      <c r="A251" t="s">
        <v>249</v>
      </c>
      <c r="B251">
        <f>644+290+183+3+25+169+146+91+98</f>
        <v>1649</v>
      </c>
      <c r="H251">
        <f>62+3+25+169+146+91+98</f>
        <v>594</v>
      </c>
    </row>
    <row r="252" spans="1:8" x14ac:dyDescent="0.35">
      <c r="A252" t="s">
        <v>250</v>
      </c>
      <c r="B252">
        <f>644+290+183+3+25+169+146+51+115</f>
        <v>1626</v>
      </c>
      <c r="H252">
        <f>62+3+25+169+146+51+115</f>
        <v>571</v>
      </c>
    </row>
    <row r="253" spans="1:8" x14ac:dyDescent="0.35">
      <c r="A253" t="s">
        <v>251</v>
      </c>
      <c r="B253">
        <f>644+290+183+3+25+169+146+51+31+103</f>
        <v>1645</v>
      </c>
      <c r="H253">
        <f>62+3+25+169+146+51+31+103</f>
        <v>590</v>
      </c>
    </row>
    <row r="254" spans="1:8" x14ac:dyDescent="0.35">
      <c r="A254" t="s">
        <v>252</v>
      </c>
      <c r="B254">
        <f>644+290+183+3+25+169+146+51+31+139</f>
        <v>1681</v>
      </c>
      <c r="H254">
        <f>62+3+25+169+146+51+31+139</f>
        <v>626</v>
      </c>
    </row>
    <row r="255" spans="1:8" x14ac:dyDescent="0.35">
      <c r="A255" t="s">
        <v>253</v>
      </c>
      <c r="B255">
        <f>644+290+183+3+25+169+307</f>
        <v>1621</v>
      </c>
      <c r="H255">
        <f>62+3+25+169+307</f>
        <v>566</v>
      </c>
    </row>
    <row r="256" spans="1:8" x14ac:dyDescent="0.35">
      <c r="A256" t="s">
        <v>254</v>
      </c>
      <c r="B256">
        <f>644+290+183+3+25+462</f>
        <v>1607</v>
      </c>
      <c r="H256">
        <f>62+3+25+462</f>
        <v>552</v>
      </c>
    </row>
    <row r="257" spans="1:8" x14ac:dyDescent="0.35">
      <c r="A257" t="s">
        <v>255</v>
      </c>
      <c r="B257">
        <f>644+290+183+3+147+12+1+2+2+314+1+40</f>
        <v>1639</v>
      </c>
      <c r="H257">
        <f>62+3+147+12+1+2+2+314+1+40</f>
        <v>584</v>
      </c>
    </row>
    <row r="258" spans="1:8" x14ac:dyDescent="0.35">
      <c r="A258" t="s">
        <v>256</v>
      </c>
      <c r="B258">
        <f>644+290+183+3+147+12+1+2+2+314+1+35</f>
        <v>1634</v>
      </c>
      <c r="H258">
        <f>62+3+147+12+1+2+2+314+1+35</f>
        <v>579</v>
      </c>
    </row>
    <row r="259" spans="1:8" x14ac:dyDescent="0.35">
      <c r="A259" t="s">
        <v>257</v>
      </c>
      <c r="B259">
        <f>644+290+183+3+147+12+1+2+2+314+28</f>
        <v>1626</v>
      </c>
      <c r="H259">
        <f>62+3+147+12+1+2+2+314+28</f>
        <v>571</v>
      </c>
    </row>
    <row r="260" spans="1:8" x14ac:dyDescent="0.35">
      <c r="A260" t="s">
        <v>258</v>
      </c>
      <c r="B260">
        <f>644+290+183+3+147+12+1+2+2+356+4</f>
        <v>1644</v>
      </c>
      <c r="H260">
        <f>62+3+147+12+1+2+2+356+4</f>
        <v>589</v>
      </c>
    </row>
    <row r="261" spans="1:8" x14ac:dyDescent="0.35">
      <c r="A261" t="s">
        <v>259</v>
      </c>
      <c r="B261">
        <f>644+290+183+3+147+12+1+2+2+356+6</f>
        <v>1646</v>
      </c>
      <c r="H261">
        <f>62+3+147+12+1+2+2+356+6</f>
        <v>591</v>
      </c>
    </row>
    <row r="262" spans="1:8" x14ac:dyDescent="0.35">
      <c r="A262" t="s">
        <v>260</v>
      </c>
      <c r="B262">
        <f>644+290+183+3+147+12+1+2+371</f>
        <v>1653</v>
      </c>
      <c r="H262">
        <f>62+3+147+12+1+2+371</f>
        <v>598</v>
      </c>
    </row>
    <row r="263" spans="1:8" x14ac:dyDescent="0.35">
      <c r="A263" t="s">
        <v>261</v>
      </c>
      <c r="B263">
        <f>644+290+183+3+147+12+1+359</f>
        <v>1639</v>
      </c>
      <c r="H263">
        <f>62+3+147+12+1+359</f>
        <v>584</v>
      </c>
    </row>
    <row r="264" spans="1:8" x14ac:dyDescent="0.35">
      <c r="A264" t="s">
        <v>262</v>
      </c>
      <c r="B264">
        <f>644+290+183+3+147+12+176+161</f>
        <v>1616</v>
      </c>
      <c r="H264">
        <f>62+3+147+12+176+161</f>
        <v>561</v>
      </c>
    </row>
    <row r="265" spans="1:8" x14ac:dyDescent="0.35">
      <c r="A265" t="s">
        <v>263</v>
      </c>
      <c r="B265">
        <f>644+290+183+3+147+12+176+74+90</f>
        <v>1619</v>
      </c>
      <c r="H265">
        <f>62+3+147+12+176+74+90</f>
        <v>564</v>
      </c>
    </row>
    <row r="266" spans="1:8" x14ac:dyDescent="0.35">
      <c r="A266" t="s">
        <v>264</v>
      </c>
      <c r="B266">
        <f>644+290+183+3+147+12+176+74+76+4</f>
        <v>1609</v>
      </c>
      <c r="H266">
        <f>62+3+147+12+176+74+76+4</f>
        <v>554</v>
      </c>
    </row>
    <row r="267" spans="1:8" x14ac:dyDescent="0.35">
      <c r="A267" t="s">
        <v>265</v>
      </c>
      <c r="B267">
        <f>644+290+183+3+147+12+176+74+76+2+3</f>
        <v>1610</v>
      </c>
      <c r="H267">
        <f>62+3+147+12+176+74+76+2+3</f>
        <v>555</v>
      </c>
    </row>
    <row r="268" spans="1:8" x14ac:dyDescent="0.35">
      <c r="A268" t="s">
        <v>266</v>
      </c>
      <c r="B268">
        <f>644+290+183+3+147+12+176+74+76+2+7</f>
        <v>1614</v>
      </c>
      <c r="H268">
        <f>62+3+147+12+176+74+76+2+7</f>
        <v>559</v>
      </c>
    </row>
    <row r="269" spans="1:8" x14ac:dyDescent="0.35">
      <c r="A269" t="s">
        <v>267</v>
      </c>
      <c r="B269">
        <f>644+290+183+3+147+109+272+2+2+1+1+2</f>
        <v>1656</v>
      </c>
      <c r="H269">
        <f>62+3+147+109+272+2+2+1+1+2</f>
        <v>601</v>
      </c>
    </row>
    <row r="270" spans="1:8" x14ac:dyDescent="0.35">
      <c r="A270" t="s">
        <v>268</v>
      </c>
      <c r="B270">
        <f>644+290+183+3+147+109+272+2+2+1+1+3</f>
        <v>1657</v>
      </c>
      <c r="H270">
        <f>62+3+147+109+272+2+2+1+1+3</f>
        <v>602</v>
      </c>
    </row>
    <row r="271" spans="1:8" x14ac:dyDescent="0.35">
      <c r="A271" t="s">
        <v>269</v>
      </c>
      <c r="B271">
        <f>644+290+183+3+147+109+272+2+2+1+1+3</f>
        <v>1657</v>
      </c>
      <c r="H271">
        <f>62+3+147+109+272+2+2+1+1+3</f>
        <v>602</v>
      </c>
    </row>
    <row r="272" spans="1:8" x14ac:dyDescent="0.35">
      <c r="A272" t="s">
        <v>270</v>
      </c>
      <c r="B272">
        <f>644+290+183+3+147+109+272+2+2+1+6</f>
        <v>1659</v>
      </c>
      <c r="H272">
        <f>62+3+147+109+272+2+2+1+6</f>
        <v>604</v>
      </c>
    </row>
    <row r="273" spans="1:8" x14ac:dyDescent="0.35">
      <c r="A273" t="s">
        <v>271</v>
      </c>
      <c r="B273">
        <f>644+290+183+3+147+109+272+2+2+1+7</f>
        <v>1660</v>
      </c>
      <c r="H273">
        <f>62+3+147+109+272+2+2+1+7</f>
        <v>605</v>
      </c>
    </row>
    <row r="274" spans="1:8" x14ac:dyDescent="0.35">
      <c r="A274" t="s">
        <v>272</v>
      </c>
      <c r="B274">
        <f>644+290+183+3+147+109+272+2+2+8</f>
        <v>1660</v>
      </c>
      <c r="H274">
        <f>62+3+147+109+272+2+2+8</f>
        <v>605</v>
      </c>
    </row>
    <row r="275" spans="1:8" x14ac:dyDescent="0.35">
      <c r="A275" t="s">
        <v>273</v>
      </c>
      <c r="B275">
        <f>644+290+183+3+147+109+272+2+2+6</f>
        <v>1658</v>
      </c>
      <c r="H275">
        <f>62+3+147+109+272+2+2+6</f>
        <v>603</v>
      </c>
    </row>
    <row r="276" spans="1:8" x14ac:dyDescent="0.35">
      <c r="A276" t="s">
        <v>274</v>
      </c>
      <c r="B276">
        <f>644+290+183+3+147+109+272+2+5</f>
        <v>1655</v>
      </c>
      <c r="H276">
        <f>62+3+147+109+272+2+5</f>
        <v>600</v>
      </c>
    </row>
    <row r="277" spans="1:8" x14ac:dyDescent="0.35">
      <c r="A277" t="s">
        <v>275</v>
      </c>
      <c r="B277">
        <f>644+290+183+3+147+109+272+3</f>
        <v>1651</v>
      </c>
      <c r="H277">
        <f>62+3+147+109+272+3</f>
        <v>596</v>
      </c>
    </row>
    <row r="278" spans="1:8" x14ac:dyDescent="0.35">
      <c r="A278" t="s">
        <v>276</v>
      </c>
      <c r="B278">
        <f>644+290+183+3+147+109+125+7+93</f>
        <v>1601</v>
      </c>
      <c r="H278">
        <f>62+3+147+109+125+7+93</f>
        <v>546</v>
      </c>
    </row>
    <row r="279" spans="1:8" x14ac:dyDescent="0.35">
      <c r="A279" t="s">
        <v>277</v>
      </c>
      <c r="B279">
        <f>644+290+183+3+147+109+125+7+100</f>
        <v>1608</v>
      </c>
      <c r="H279">
        <f>62+3+147+109+125+7+100</f>
        <v>553</v>
      </c>
    </row>
    <row r="280" spans="1:8" x14ac:dyDescent="0.35">
      <c r="A280" t="s">
        <v>278</v>
      </c>
      <c r="B280">
        <f>644+290+183+3+147+109+125+1+97</f>
        <v>1599</v>
      </c>
      <c r="H280">
        <f>62+3+147+109+125+1+97</f>
        <v>544</v>
      </c>
    </row>
    <row r="281" spans="1:8" x14ac:dyDescent="0.35">
      <c r="A281" t="s">
        <v>279</v>
      </c>
      <c r="B281">
        <f>644+290+183+3+147+109+125+1+1+101</f>
        <v>1604</v>
      </c>
      <c r="H281">
        <f>62+3+147+109+125+1+1+101</f>
        <v>549</v>
      </c>
    </row>
    <row r="282" spans="1:8" x14ac:dyDescent="0.35">
      <c r="A282" t="s">
        <v>280</v>
      </c>
      <c r="B282">
        <f>644+290+183+3+147+109+125+1+1+25+53+8+23+6</f>
        <v>1618</v>
      </c>
      <c r="H282">
        <f>62+3+147+109+125+1+1+25+53+8+23+6</f>
        <v>563</v>
      </c>
    </row>
    <row r="283" spans="1:8" x14ac:dyDescent="0.35">
      <c r="A283" t="s">
        <v>281</v>
      </c>
      <c r="B283">
        <f>644+290+183+3+147+109+125+1+1+25+53+8+23</f>
        <v>1612</v>
      </c>
      <c r="H283">
        <f>62+3+147+109+125+1+1+25+53+8+23</f>
        <v>557</v>
      </c>
    </row>
    <row r="284" spans="1:8" x14ac:dyDescent="0.35">
      <c r="A284" t="s">
        <v>282</v>
      </c>
      <c r="B284">
        <f>644+290+183+3+147+109+125+1+1+25+53+8+27</f>
        <v>1616</v>
      </c>
      <c r="H284">
        <f>62+3+147+109+125+1+1+25+53+8+27</f>
        <v>561</v>
      </c>
    </row>
    <row r="285" spans="1:8" x14ac:dyDescent="0.35">
      <c r="A285" t="s">
        <v>283</v>
      </c>
      <c r="B285">
        <f>644+290+183+3+147+109+125+1+1+25+53+32</f>
        <v>1613</v>
      </c>
      <c r="H285">
        <f>62+3+147+109+125+1+1+25+53+32</f>
        <v>558</v>
      </c>
    </row>
    <row r="286" spans="1:8" x14ac:dyDescent="0.35">
      <c r="A286" t="s">
        <v>284</v>
      </c>
      <c r="B286">
        <f>644+290+183+3+147+109+125+1+1+25+71+1+4+17</f>
        <v>1621</v>
      </c>
      <c r="H286">
        <f>62+3+147+109+125+1+1+25+71+1+4+17</f>
        <v>566</v>
      </c>
    </row>
    <row r="287" spans="1:8" x14ac:dyDescent="0.35">
      <c r="A287" t="s">
        <v>285</v>
      </c>
      <c r="B287">
        <f>644+290+183+3+147+109+125+1+1+25+71+1+4+9</f>
        <v>1613</v>
      </c>
      <c r="H287">
        <f>62+3+147+109+125+1+1+25+71+1+4+9</f>
        <v>558</v>
      </c>
    </row>
    <row r="288" spans="1:8" x14ac:dyDescent="0.35">
      <c r="A288" t="s">
        <v>286</v>
      </c>
      <c r="B288">
        <f>644+290+183+3+147+109+125+1+1+25+71+1+23</f>
        <v>1623</v>
      </c>
      <c r="H288">
        <f>62+3+147+109+125+1+1+25+71+1+23</f>
        <v>568</v>
      </c>
    </row>
    <row r="289" spans="1:8" x14ac:dyDescent="0.35">
      <c r="A289" t="s">
        <v>287</v>
      </c>
      <c r="B289">
        <f>644+290+183+3+147+109+125+1+1+25+71+7+5+2</f>
        <v>1613</v>
      </c>
      <c r="H289">
        <f>62+3+147+109+125+1+1+25+71+7+5+2</f>
        <v>558</v>
      </c>
    </row>
    <row r="290" spans="1:8" x14ac:dyDescent="0.35">
      <c r="A290" t="s">
        <v>288</v>
      </c>
      <c r="B290">
        <f>644+290+183+3+147+109+125+1+1+25+71+7+5+2</f>
        <v>1613</v>
      </c>
      <c r="H290">
        <f>62+3+147+109+125+1+1+25+71+7+5+2</f>
        <v>558</v>
      </c>
    </row>
    <row r="291" spans="1:8" x14ac:dyDescent="0.35">
      <c r="A291" t="s">
        <v>289</v>
      </c>
      <c r="B291">
        <f>644+290+183+3+147+109+125+1+1+25+71+7+7+6</f>
        <v>1619</v>
      </c>
      <c r="H291">
        <f>62+3+147+109+125+1+1+25+71+7+7+6</f>
        <v>564</v>
      </c>
    </row>
    <row r="292" spans="1:8" x14ac:dyDescent="0.35">
      <c r="A292" t="s">
        <v>290</v>
      </c>
      <c r="B292">
        <f>644+290+183+3+147+109+125+1+1+25+71+7+7+2+4</f>
        <v>1619</v>
      </c>
      <c r="H292">
        <f>62+3+147+109+125+1+1+25+71+7+7+2+4</f>
        <v>564</v>
      </c>
    </row>
    <row r="293" spans="1:8" x14ac:dyDescent="0.35">
      <c r="A293" s="3" t="s">
        <v>291</v>
      </c>
      <c r="B293">
        <f>644+290+183+3+147+109+125+1+1+25+71+7+7+2+6</f>
        <v>1621</v>
      </c>
      <c r="H293">
        <f>62+3+147+109+125+1+1+25+71+7+7+2+6</f>
        <v>566</v>
      </c>
    </row>
    <row r="294" spans="1:8" x14ac:dyDescent="0.35">
      <c r="A294" s="1" t="s">
        <v>292</v>
      </c>
      <c r="B294">
        <f>644+290+683</f>
        <v>1617</v>
      </c>
      <c r="H294">
        <f>62+183+683</f>
        <v>928</v>
      </c>
    </row>
    <row r="295" spans="1:8" x14ac:dyDescent="0.35">
      <c r="A295" t="s">
        <v>293</v>
      </c>
      <c r="B295">
        <f>644+84+988</f>
        <v>1716</v>
      </c>
      <c r="H295">
        <f>62+183+290+84+988</f>
        <v>1607</v>
      </c>
    </row>
    <row r="296" spans="1:8" x14ac:dyDescent="0.35">
      <c r="A296" t="s">
        <v>294</v>
      </c>
      <c r="B296">
        <f>644+84+913</f>
        <v>1641</v>
      </c>
      <c r="H296">
        <f>62+183+290+84+913</f>
        <v>1532</v>
      </c>
    </row>
    <row r="297" spans="1:8" x14ac:dyDescent="0.35">
      <c r="A297" t="s">
        <v>295</v>
      </c>
      <c r="B297">
        <f>1660</f>
        <v>1660</v>
      </c>
      <c r="H297">
        <f>62+183+290+644+1660</f>
        <v>2839</v>
      </c>
    </row>
    <row r="298" spans="1:8" x14ac:dyDescent="0.35">
      <c r="A298" t="s">
        <v>296</v>
      </c>
      <c r="B298">
        <f>1660+57</f>
        <v>1717</v>
      </c>
      <c r="H298">
        <f>62+183+290+644+1660+57</f>
        <v>2896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BranchLengths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Nathaniel Jeanson</dc:creator>
  <cp:lastModifiedBy>Nathaniel Jeanson</cp:lastModifiedBy>
  <dcterms:created xsi:type="dcterms:W3CDTF">2019-09-19T15:51:01Z</dcterms:created>
  <dcterms:modified xsi:type="dcterms:W3CDTF">2019-10-11T18:58:54Z</dcterms:modified>
</cp:coreProperties>
</file>